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20" windowWidth="9855" windowHeight="11355" tabRatio="683" activeTab="5"/>
  </bookViews>
  <sheets>
    <sheet name="BASE DE DATOS 2015" sheetId="11" r:id="rId1"/>
    <sheet name="BASE DE DATOS 2016" sheetId="13" r:id="rId2"/>
    <sheet name="BASE DE DATOS 2017" sheetId="1" r:id="rId3"/>
    <sheet name="RESUMEN 2017" sheetId="2" r:id="rId4"/>
    <sheet name="TERMINOS" sheetId="9" state="hidden" r:id="rId5"/>
    <sheet name="COMPARATIVO" sheetId="12" r:id="rId6"/>
    <sheet name="INSTITUCION" sheetId="3" r:id="rId7"/>
    <sheet name="ESPACIO" sheetId="4" r:id="rId8"/>
    <sheet name="EQUIPO Y MATERIAL" sheetId="5" r:id="rId9"/>
    <sheet name="CONVIVENCIA" sheetId="6" r:id="rId10"/>
    <sheet name="MANDOS MEDIOS" sheetId="7" r:id="rId11"/>
    <sheet name="PUESTO" sheetId="8" r:id="rId12"/>
    <sheet name="Hoja1" sheetId="10" r:id="rId13"/>
  </sheets>
  <definedNames>
    <definedName name="_xlnm._FilterDatabase" localSheetId="0" hidden="1">'BASE DE DATOS 2015'!$A$1:$BA$11</definedName>
    <definedName name="_xlnm._FilterDatabase" localSheetId="1" hidden="1">'BASE DE DATOS 2016'!$A$1:$BA$12</definedName>
    <definedName name="_xlnm._FilterDatabase" localSheetId="2" hidden="1">'BASE DE DATOS 2017'!$A$1:$BA$17</definedName>
    <definedName name="TODAS_LAS_AREAS_1" localSheetId="2">'BASE DE DATOS 2017'!$B$3:$BA$17</definedName>
  </definedNames>
  <calcPr calcId="144525"/>
</workbook>
</file>

<file path=xl/calcChain.xml><?xml version="1.0" encoding="utf-8"?>
<calcChain xmlns="http://schemas.openxmlformats.org/spreadsheetml/2006/main">
  <c r="F16" i="12" l="1"/>
  <c r="E16" i="12"/>
  <c r="D16" i="12"/>
  <c r="E30" i="2"/>
  <c r="E29" i="2"/>
  <c r="K37" i="2" l="1"/>
  <c r="E43" i="12" l="1"/>
  <c r="E42" i="12"/>
  <c r="E41" i="12"/>
  <c r="E40" i="12"/>
  <c r="E39" i="12"/>
  <c r="E38" i="12"/>
  <c r="E36" i="12"/>
  <c r="E35" i="12"/>
  <c r="E34" i="12"/>
  <c r="E33" i="12"/>
  <c r="E31" i="12"/>
  <c r="E30" i="12"/>
  <c r="E29" i="12"/>
  <c r="E27" i="12"/>
  <c r="E26" i="12"/>
  <c r="E24" i="12"/>
  <c r="E23" i="12"/>
  <c r="E22" i="12"/>
  <c r="E15" i="12"/>
  <c r="E14" i="12"/>
  <c r="E13" i="12"/>
  <c r="E12" i="12"/>
  <c r="E11" i="12"/>
  <c r="E10" i="12"/>
  <c r="E9" i="12"/>
  <c r="E7" i="12"/>
  <c r="E6" i="12"/>
  <c r="E5" i="12"/>
  <c r="E4" i="12" s="1"/>
  <c r="M5" i="12" s="1"/>
  <c r="E37" i="12" l="1"/>
  <c r="M10" i="12" s="1"/>
  <c r="E32" i="12"/>
  <c r="M9" i="12" s="1"/>
  <c r="E28" i="12"/>
  <c r="M8" i="12" s="1"/>
  <c r="E25" i="12"/>
  <c r="E21" i="12"/>
  <c r="E8" i="12"/>
  <c r="M6" i="12" s="1"/>
  <c r="D12" i="2"/>
  <c r="L11" i="2"/>
  <c r="I11" i="2"/>
  <c r="F11" i="2"/>
  <c r="F10" i="2"/>
  <c r="K10" i="2"/>
  <c r="K9" i="2"/>
  <c r="F9" i="2"/>
  <c r="F8" i="2"/>
  <c r="F7" i="2"/>
  <c r="K6" i="2"/>
  <c r="F6" i="2"/>
  <c r="E44" i="12" l="1"/>
  <c r="M7" i="12"/>
  <c r="D5" i="2"/>
  <c r="F36" i="12"/>
  <c r="H36" i="12" s="1"/>
  <c r="D36" i="12"/>
  <c r="D95" i="8"/>
  <c r="D94" i="8"/>
  <c r="D93" i="8"/>
  <c r="D92" i="8"/>
  <c r="D91" i="8"/>
  <c r="D83" i="8"/>
  <c r="D82" i="8"/>
  <c r="D81" i="8"/>
  <c r="D80" i="8"/>
  <c r="D76" i="8"/>
  <c r="D75" i="8"/>
  <c r="D67" i="8"/>
  <c r="D68" i="8"/>
  <c r="D66" i="8"/>
  <c r="D65" i="8"/>
  <c r="D61" i="8"/>
  <c r="D60" i="8"/>
  <c r="D59" i="8"/>
  <c r="D58" i="8"/>
  <c r="D51" i="8"/>
  <c r="D50" i="8"/>
  <c r="D49" i="8"/>
  <c r="F43" i="12"/>
  <c r="H43" i="12" s="1"/>
  <c r="D43" i="12"/>
  <c r="F42" i="12"/>
  <c r="H42" i="12" s="1"/>
  <c r="D42" i="12"/>
  <c r="F39" i="12"/>
  <c r="H39" i="12" s="1"/>
  <c r="D39" i="12"/>
  <c r="F38" i="12"/>
  <c r="H38" i="12" s="1"/>
  <c r="D38" i="12"/>
  <c r="E91" i="8" l="1"/>
  <c r="E95" i="8"/>
  <c r="E92" i="8"/>
  <c r="E93" i="8"/>
  <c r="E94" i="8"/>
  <c r="D96" i="8"/>
  <c r="D69" i="8"/>
  <c r="F31" i="12"/>
  <c r="H31" i="12" s="1"/>
  <c r="D31" i="12"/>
  <c r="F29" i="12" l="1"/>
  <c r="H29" i="12" s="1"/>
  <c r="D29" i="12"/>
  <c r="D15" i="12"/>
  <c r="F5" i="12"/>
  <c r="H5" i="12" s="1"/>
  <c r="D5" i="12"/>
  <c r="D6" i="12"/>
  <c r="D41" i="12" l="1"/>
  <c r="D40" i="12"/>
  <c r="D35" i="12"/>
  <c r="D34" i="12"/>
  <c r="F34" i="12"/>
  <c r="H34" i="12" s="1"/>
  <c r="D33" i="12"/>
  <c r="F33" i="12"/>
  <c r="H33" i="12" s="1"/>
  <c r="D30" i="12"/>
  <c r="D27" i="12"/>
  <c r="D26" i="12"/>
  <c r="D24" i="12"/>
  <c r="D23" i="12"/>
  <c r="D22" i="12"/>
  <c r="D14" i="12" l="1"/>
  <c r="D13" i="12"/>
  <c r="D12" i="12"/>
  <c r="D11" i="12"/>
  <c r="D10" i="12"/>
  <c r="D9" i="12"/>
  <c r="D7" i="12"/>
  <c r="F35" i="12"/>
  <c r="H35" i="12" s="1"/>
  <c r="F26" i="12" l="1"/>
  <c r="F30" i="12"/>
  <c r="H30" i="12" s="1"/>
  <c r="F24" i="12"/>
  <c r="F23" i="12"/>
  <c r="F22" i="12"/>
  <c r="F15" i="12"/>
  <c r="H15" i="12" s="1"/>
  <c r="D81" i="4"/>
  <c r="D80" i="4"/>
  <c r="D79" i="4"/>
  <c r="D75" i="4"/>
  <c r="D74" i="4"/>
  <c r="D68" i="4"/>
  <c r="D67" i="4"/>
  <c r="D66" i="4"/>
  <c r="D65" i="4"/>
  <c r="D58" i="4"/>
  <c r="D57" i="4"/>
  <c r="D56" i="4"/>
  <c r="D55" i="4"/>
  <c r="D51" i="4"/>
  <c r="D50" i="4"/>
  <c r="D49" i="4"/>
  <c r="D48" i="4"/>
  <c r="D76" i="4" l="1"/>
  <c r="D82" i="4"/>
  <c r="F12" i="12"/>
  <c r="H12" i="12" s="1"/>
  <c r="F14" i="12"/>
  <c r="H14" i="12" s="1"/>
  <c r="F11" i="12"/>
  <c r="H11" i="12" s="1"/>
  <c r="F10" i="12"/>
  <c r="H10" i="12" s="1"/>
  <c r="F13" i="12"/>
  <c r="H13" i="12" s="1"/>
  <c r="F9" i="12"/>
  <c r="H9" i="12" s="1"/>
  <c r="F7" i="12"/>
  <c r="H7" i="12" s="1"/>
  <c r="F6" i="12"/>
  <c r="H6" i="12" s="1"/>
  <c r="D35" i="8"/>
  <c r="D36" i="8"/>
  <c r="D34" i="8"/>
  <c r="D33" i="8"/>
  <c r="D26" i="8"/>
  <c r="D24" i="8"/>
  <c r="D25" i="8"/>
  <c r="D23" i="8"/>
  <c r="D14" i="8"/>
  <c r="D15" i="8"/>
  <c r="D12" i="8"/>
  <c r="D13" i="8"/>
  <c r="D11" i="8"/>
  <c r="D5" i="8"/>
  <c r="D6" i="8"/>
  <c r="D7" i="8"/>
  <c r="D4" i="8"/>
  <c r="D39" i="7"/>
  <c r="D38" i="7"/>
  <c r="D37" i="7"/>
  <c r="D32" i="7"/>
  <c r="D33" i="7"/>
  <c r="D31" i="7"/>
  <c r="D30" i="7"/>
  <c r="D22" i="7"/>
  <c r="D21" i="7"/>
  <c r="D20" i="7"/>
  <c r="D19" i="7"/>
  <c r="D14" i="7"/>
  <c r="D15" i="7"/>
  <c r="D13" i="7"/>
  <c r="D12" i="7"/>
  <c r="D6" i="7"/>
  <c r="D7" i="7"/>
  <c r="D8" i="7"/>
  <c r="D5" i="7"/>
  <c r="D40" i="6"/>
  <c r="D39" i="6"/>
  <c r="D38" i="6"/>
  <c r="D37" i="6"/>
  <c r="D33" i="6"/>
  <c r="D32" i="6"/>
  <c r="D31" i="6"/>
  <c r="D30" i="6"/>
  <c r="D23" i="6"/>
  <c r="D24" i="6"/>
  <c r="D22" i="6"/>
  <c r="D21" i="6"/>
  <c r="D14" i="6"/>
  <c r="D13" i="6"/>
  <c r="D12" i="6"/>
  <c r="D11" i="6"/>
  <c r="D7" i="6"/>
  <c r="D6" i="6"/>
  <c r="D5" i="6"/>
  <c r="D4" i="6"/>
  <c r="D72" i="5"/>
  <c r="D73" i="5"/>
  <c r="D71" i="5"/>
  <c r="D70" i="5"/>
  <c r="D63" i="5"/>
  <c r="D64" i="5"/>
  <c r="D62" i="5"/>
  <c r="D61" i="5"/>
  <c r="D53" i="5"/>
  <c r="D54" i="5"/>
  <c r="D55" i="5"/>
  <c r="D52" i="5"/>
  <c r="D51" i="5"/>
  <c r="D44" i="5"/>
  <c r="D43" i="5"/>
  <c r="D42" i="5"/>
  <c r="D41" i="5"/>
  <c r="D35" i="5"/>
  <c r="D34" i="5"/>
  <c r="D33" i="5"/>
  <c r="D32" i="5"/>
  <c r="D26" i="5"/>
  <c r="D25" i="5"/>
  <c r="D24" i="5"/>
  <c r="D23" i="5"/>
  <c r="D22" i="5"/>
  <c r="D16" i="5"/>
  <c r="D15" i="5"/>
  <c r="D14" i="5"/>
  <c r="D13" i="5"/>
  <c r="D7" i="5"/>
  <c r="D6" i="5"/>
  <c r="D5" i="5"/>
  <c r="D4" i="5"/>
  <c r="D41" i="4"/>
  <c r="D40" i="4"/>
  <c r="D39" i="4"/>
  <c r="D38" i="4"/>
  <c r="D33" i="4"/>
  <c r="D34" i="4"/>
  <c r="D32" i="4"/>
  <c r="D31" i="4"/>
  <c r="D24" i="4"/>
  <c r="D23" i="4"/>
  <c r="D22" i="4"/>
  <c r="D21" i="4"/>
  <c r="D15" i="4"/>
  <c r="D14" i="4"/>
  <c r="D13" i="4"/>
  <c r="D12" i="4"/>
  <c r="D6" i="4"/>
  <c r="D5" i="4"/>
  <c r="D28" i="3"/>
  <c r="D26" i="3"/>
  <c r="D27" i="3"/>
  <c r="D19" i="3"/>
  <c r="D18" i="3"/>
  <c r="D9" i="3"/>
  <c r="D8" i="3"/>
  <c r="D7" i="3"/>
  <c r="D6" i="3"/>
  <c r="E83" i="4" l="1"/>
  <c r="D8" i="6"/>
  <c r="D15" i="6"/>
  <c r="G31" i="6"/>
  <c r="D34" i="6"/>
  <c r="G38" i="6"/>
  <c r="D8" i="8"/>
  <c r="E26" i="3"/>
  <c r="E27" i="3"/>
  <c r="E28" i="3"/>
  <c r="H35" i="6" l="1"/>
  <c r="F41" i="12"/>
  <c r="H41" i="12" s="1"/>
  <c r="F40" i="12"/>
  <c r="H40" i="12" s="1"/>
  <c r="F27" i="12"/>
  <c r="F25" i="12" l="1"/>
  <c r="H25" i="12" s="1"/>
  <c r="F32" i="12"/>
  <c r="N9" i="12" s="1"/>
  <c r="D32" i="12" l="1"/>
  <c r="L9" i="12" s="1"/>
  <c r="D25" i="12"/>
  <c r="F8" i="12"/>
  <c r="N6" i="12" s="1"/>
  <c r="F28" i="12" l="1"/>
  <c r="N8" i="12" s="1"/>
  <c r="D8" i="12"/>
  <c r="L6" i="12" s="1"/>
  <c r="D50" i="7"/>
  <c r="D49" i="7"/>
  <c r="D48" i="7"/>
  <c r="D47" i="7"/>
  <c r="F4" i="12" l="1"/>
  <c r="N5" i="12" s="1"/>
  <c r="D56" i="5"/>
  <c r="D52" i="8" l="1"/>
  <c r="K29" i="2" s="1"/>
  <c r="E59" i="8"/>
  <c r="E36" i="8"/>
  <c r="D74" i="5"/>
  <c r="E68" i="4"/>
  <c r="E66" i="4"/>
  <c r="E35" i="8"/>
  <c r="E61" i="8"/>
  <c r="D37" i="8"/>
  <c r="K28" i="2" s="1"/>
  <c r="E65" i="4"/>
  <c r="E67" i="4"/>
  <c r="D27" i="8"/>
  <c r="K27" i="2" s="1"/>
  <c r="E6" i="8"/>
  <c r="E7" i="8"/>
  <c r="D16" i="8"/>
  <c r="D77" i="8"/>
  <c r="E60" i="8"/>
  <c r="E5" i="8"/>
  <c r="D62" i="8"/>
  <c r="E34" i="8"/>
  <c r="E76" i="8"/>
  <c r="D84" i="8"/>
  <c r="D71" i="7"/>
  <c r="E81" i="8"/>
  <c r="E82" i="8"/>
  <c r="E83" i="8"/>
  <c r="E80" i="8"/>
  <c r="E75" i="8"/>
  <c r="E13" i="8"/>
  <c r="E50" i="8"/>
  <c r="E51" i="8"/>
  <c r="E49" i="8"/>
  <c r="E33" i="8"/>
  <c r="E66" i="8"/>
  <c r="E67" i="8"/>
  <c r="E68" i="8"/>
  <c r="E24" i="8"/>
  <c r="E25" i="8"/>
  <c r="E26" i="8"/>
  <c r="E23" i="8"/>
  <c r="E65" i="8"/>
  <c r="E58" i="8"/>
  <c r="E12" i="8"/>
  <c r="E14" i="8"/>
  <c r="E15" i="8"/>
  <c r="E11" i="8"/>
  <c r="E4" i="8"/>
  <c r="E85" i="8" l="1"/>
  <c r="K30" i="2" s="1"/>
  <c r="E17" i="8"/>
  <c r="K25" i="2" s="1"/>
  <c r="E70" i="8"/>
  <c r="K26" i="2" s="1"/>
  <c r="D65" i="7"/>
  <c r="D66" i="7"/>
  <c r="D67" i="7"/>
  <c r="D64" i="7"/>
  <c r="D58" i="7"/>
  <c r="D59" i="7"/>
  <c r="D60" i="7"/>
  <c r="D57" i="7"/>
  <c r="D51" i="7"/>
  <c r="K21" i="2" s="1"/>
  <c r="E31" i="7"/>
  <c r="E33" i="7"/>
  <c r="E20" i="7"/>
  <c r="E22" i="7"/>
  <c r="E13" i="7"/>
  <c r="E15" i="7"/>
  <c r="E73" i="5"/>
  <c r="E72" i="5"/>
  <c r="E42" i="2"/>
  <c r="E44" i="5"/>
  <c r="E42" i="5"/>
  <c r="E35" i="5"/>
  <c r="E33" i="5"/>
  <c r="E12" i="4"/>
  <c r="E5" i="4"/>
  <c r="E6" i="4"/>
  <c r="E7" i="4"/>
  <c r="E22" i="2" s="1"/>
  <c r="F8" i="3"/>
  <c r="F7" i="3"/>
  <c r="F6" i="3"/>
  <c r="K24" i="2" l="1"/>
  <c r="D61" i="7"/>
  <c r="D17" i="5"/>
  <c r="D27" i="5"/>
  <c r="D42" i="4"/>
  <c r="D29" i="3"/>
  <c r="E18" i="2" s="1"/>
  <c r="E12" i="6"/>
  <c r="D9" i="7"/>
  <c r="E25" i="4"/>
  <c r="E24" i="2" s="1"/>
  <c r="E31" i="4"/>
  <c r="E38" i="4"/>
  <c r="D52" i="4"/>
  <c r="E58" i="4"/>
  <c r="E66" i="7"/>
  <c r="D68" i="7"/>
  <c r="E40" i="6"/>
  <c r="E4" i="5"/>
  <c r="E14" i="6"/>
  <c r="D25" i="6"/>
  <c r="K16" i="2" s="1"/>
  <c r="D41" i="6"/>
  <c r="E42" i="6" s="1"/>
  <c r="K17" i="2" s="1"/>
  <c r="E60" i="7"/>
  <c r="E33" i="4"/>
  <c r="E40" i="4"/>
  <c r="E64" i="5"/>
  <c r="D65" i="5"/>
  <c r="E41" i="2" s="1"/>
  <c r="E40" i="2" s="1"/>
  <c r="E63" i="5"/>
  <c r="E34" i="4"/>
  <c r="E32" i="4"/>
  <c r="E41" i="4"/>
  <c r="E39" i="4"/>
  <c r="E39" i="6"/>
  <c r="D59" i="4"/>
  <c r="E57" i="4"/>
  <c r="E59" i="7"/>
  <c r="E28" i="2"/>
  <c r="D34" i="7"/>
  <c r="E67" i="7"/>
  <c r="E19" i="3"/>
  <c r="D8" i="5"/>
  <c r="E34" i="5"/>
  <c r="E43" i="5"/>
  <c r="E13" i="6"/>
  <c r="E14" i="7"/>
  <c r="E21" i="7"/>
  <c r="E32" i="7"/>
  <c r="D40" i="7"/>
  <c r="K23" i="2"/>
  <c r="E16" i="4"/>
  <c r="E23" i="2" s="1"/>
  <c r="C19" i="2"/>
  <c r="E22" i="4"/>
  <c r="D35" i="4"/>
  <c r="E56" i="4"/>
  <c r="D69" i="4"/>
  <c r="E27" i="2" s="1"/>
  <c r="E13" i="5"/>
  <c r="D36" i="5"/>
  <c r="E37" i="2" s="1"/>
  <c r="D45" i="5"/>
  <c r="E38" i="2" s="1"/>
  <c r="E36" i="2" s="1"/>
  <c r="E39" i="2"/>
  <c r="E62" i="5"/>
  <c r="E71" i="5"/>
  <c r="E38" i="6"/>
  <c r="D16" i="7"/>
  <c r="D23" i="7"/>
  <c r="E58" i="7"/>
  <c r="E65" i="7"/>
  <c r="E18" i="3"/>
  <c r="D20" i="3"/>
  <c r="E17" i="2" s="1"/>
  <c r="E23" i="5"/>
  <c r="E64" i="7"/>
  <c r="E57" i="7"/>
  <c r="E48" i="7"/>
  <c r="E49" i="7"/>
  <c r="E50" i="7"/>
  <c r="E47" i="7"/>
  <c r="E38" i="7"/>
  <c r="E39" i="7"/>
  <c r="E30" i="7"/>
  <c r="E37" i="7"/>
  <c r="E19" i="7"/>
  <c r="E12" i="7"/>
  <c r="E7" i="5"/>
  <c r="E6" i="5"/>
  <c r="E5" i="5"/>
  <c r="E16" i="5"/>
  <c r="E15" i="5"/>
  <c r="E14" i="5"/>
  <c r="E52" i="5"/>
  <c r="E53" i="5"/>
  <c r="E54" i="5"/>
  <c r="E55" i="5"/>
  <c r="E6" i="7"/>
  <c r="E7" i="7"/>
  <c r="E8" i="7"/>
  <c r="E5" i="7"/>
  <c r="E37" i="6"/>
  <c r="E31" i="6"/>
  <c r="E32" i="6"/>
  <c r="E33" i="6"/>
  <c r="E30" i="6"/>
  <c r="E22" i="6"/>
  <c r="E23" i="6"/>
  <c r="E24" i="6"/>
  <c r="E21" i="6"/>
  <c r="E11" i="6"/>
  <c r="E5" i="6"/>
  <c r="E6" i="6"/>
  <c r="E7" i="6"/>
  <c r="E4" i="6"/>
  <c r="E70" i="5"/>
  <c r="E61" i="5"/>
  <c r="E51" i="5"/>
  <c r="E41" i="5"/>
  <c r="E32" i="5"/>
  <c r="E24" i="5"/>
  <c r="E25" i="5"/>
  <c r="E26" i="5"/>
  <c r="E22" i="5"/>
  <c r="E80" i="4"/>
  <c r="E81" i="4"/>
  <c r="E79" i="4"/>
  <c r="E75" i="4"/>
  <c r="E74" i="4"/>
  <c r="E55" i="4"/>
  <c r="E49" i="4"/>
  <c r="E50" i="4"/>
  <c r="E51" i="4"/>
  <c r="E48" i="4"/>
  <c r="E15" i="4"/>
  <c r="E14" i="4"/>
  <c r="E13" i="4"/>
  <c r="E21" i="4"/>
  <c r="E24" i="4"/>
  <c r="E23" i="4"/>
  <c r="E6" i="3"/>
  <c r="E10" i="3" s="1"/>
  <c r="F10" i="3" l="1"/>
  <c r="E11" i="3" s="1"/>
  <c r="E16" i="2" s="1"/>
  <c r="E15" i="2" s="1"/>
  <c r="E72" i="7"/>
  <c r="K22" i="2" s="1"/>
  <c r="E16" i="6"/>
  <c r="K15" i="2" s="1"/>
  <c r="K14" i="2" s="1"/>
  <c r="E43" i="4"/>
  <c r="E25" i="2" s="1"/>
  <c r="E60" i="4"/>
  <c r="E26" i="2" s="1"/>
  <c r="E41" i="7"/>
  <c r="K20" i="2" s="1"/>
  <c r="E24" i="7"/>
  <c r="K19" i="2" s="1"/>
  <c r="E35" i="2"/>
  <c r="E21" i="2" l="1"/>
  <c r="E20" i="2"/>
  <c r="K18" i="2"/>
  <c r="K36" i="2" s="1"/>
  <c r="E12" i="3"/>
  <c r="E14" i="2"/>
  <c r="K35" i="2" l="1"/>
  <c r="D28" i="12"/>
  <c r="L8" i="12" s="1"/>
  <c r="D4" i="12"/>
  <c r="L5" i="12" s="1"/>
  <c r="F37" i="12"/>
  <c r="N10" i="12" s="1"/>
  <c r="F21" i="12"/>
  <c r="D37" i="12"/>
  <c r="L10" i="12" s="1"/>
  <c r="D21" i="12"/>
  <c r="L7" i="12" s="1"/>
  <c r="D44" i="12" l="1"/>
  <c r="H21" i="12"/>
  <c r="N7" i="12"/>
  <c r="F44" i="12" l="1"/>
</calcChain>
</file>

<file path=xl/connections.xml><?xml version="1.0" encoding="utf-8"?>
<connections xmlns="http://schemas.openxmlformats.org/spreadsheetml/2006/main">
  <connection id="1" name="TODAS LAS AREAS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<sst xmlns="http://schemas.openxmlformats.org/spreadsheetml/2006/main" count="691" uniqueCount="264">
  <si>
    <t>S.PROP</t>
  </si>
  <si>
    <t>O.PROP</t>
  </si>
  <si>
    <t>CLIMA</t>
  </si>
  <si>
    <t>DATOS PERSONALES</t>
  </si>
  <si>
    <t>EDAD PROMEDIO (AÑOS):</t>
  </si>
  <si>
    <t xml:space="preserve">SEXO: </t>
  </si>
  <si>
    <t>FEMENINO:</t>
  </si>
  <si>
    <t>MASCULINO:</t>
  </si>
  <si>
    <t>ANTIGUEDAD PROMEDIO EN LA UAN (AÑOS):</t>
  </si>
  <si>
    <t xml:space="preserve">ANTIGÜEDAD PROMEDIO EN EL PUESTO: </t>
  </si>
  <si>
    <t xml:space="preserve">TIPO DE CONTRATACION: </t>
  </si>
  <si>
    <t>BASE:</t>
  </si>
  <si>
    <t>CONTRATO:</t>
  </si>
  <si>
    <t>SUPLENCIA:</t>
  </si>
  <si>
    <t>ESCOLARIDAD PROMEDIO:</t>
  </si>
  <si>
    <t>VARIABLE</t>
  </si>
  <si>
    <t>CALIFICACION</t>
  </si>
  <si>
    <t xml:space="preserve">INSTITUCION </t>
  </si>
  <si>
    <t>IGUALDAD</t>
  </si>
  <si>
    <t>EQUIDAD DE GENERO</t>
  </si>
  <si>
    <t>ILUMINACION</t>
  </si>
  <si>
    <t>NIVELES DE RUIDO</t>
  </si>
  <si>
    <t>ERGONOMIA</t>
  </si>
  <si>
    <t>HIGIENE</t>
  </si>
  <si>
    <t>MANTTO A LA INFRAESTRUCTURA</t>
  </si>
  <si>
    <t>COMITÉ DE SEGURIDAD E HIGIENE</t>
  </si>
  <si>
    <t>EQUIPO Y MATERIAL</t>
  </si>
  <si>
    <t>PERSONAL DOCENTE</t>
  </si>
  <si>
    <t>DISPONIBILIDAD DE INFORMACION</t>
  </si>
  <si>
    <t>EQUIPO</t>
  </si>
  <si>
    <t>HERRAMIENTAS</t>
  </si>
  <si>
    <t>PERSONAL ADMINISTRATIVO</t>
  </si>
  <si>
    <t>MATERIAL</t>
  </si>
  <si>
    <t>EQUIPO Y HERRAMIENTAS</t>
  </si>
  <si>
    <t>MANTTO. DE EQUIPO DE COMPUTO</t>
  </si>
  <si>
    <t>PERSONAL MANUAL</t>
  </si>
  <si>
    <t>CONVIVENCIA CON COMPAÑEROS</t>
  </si>
  <si>
    <t>TRABAJO EN EQUIPO</t>
  </si>
  <si>
    <t>COMUNICACIÓN ASERTIVA</t>
  </si>
  <si>
    <t>RESOLUCION DE CONFLICTOS</t>
  </si>
  <si>
    <t>MANDOS MEDIOS Y SUPERIORES</t>
  </si>
  <si>
    <t>COMUNICACIÓN</t>
  </si>
  <si>
    <t>ADMON DE CARGA DE TRABAJO</t>
  </si>
  <si>
    <t>EVALUACION</t>
  </si>
  <si>
    <t>APERTURA A PROPUESTAS DE MEJORA</t>
  </si>
  <si>
    <t>PUESTO DE TRABAJO</t>
  </si>
  <si>
    <t>AGRADO POR EL PUESTO</t>
  </si>
  <si>
    <t>PUESTO Y PREPARACION ACADEMICA</t>
  </si>
  <si>
    <t>CONOCIMIENTO DE PUESTO</t>
  </si>
  <si>
    <t>OPORTUNIDAD DE CRECIMIENTO</t>
  </si>
  <si>
    <t>CARGA DE TRABAJO</t>
  </si>
  <si>
    <t>CAPACITACION</t>
  </si>
  <si>
    <t>CALIFICACION GENERAL:</t>
  </si>
  <si>
    <t>CULTURA ORGANIZACIONAL</t>
  </si>
  <si>
    <t>PONDERACION</t>
  </si>
  <si>
    <t>FREC.</t>
  </si>
  <si>
    <t>CONOCIMIENTO</t>
  </si>
  <si>
    <t>APLICACIÓN</t>
  </si>
  <si>
    <t>CONOZCO LOS TERMINOS Y CREO QUE SI SE APLICAN</t>
  </si>
  <si>
    <t>CONOZCO LOS TERMINOS Y SE APLICAN PARCIALMENTE</t>
  </si>
  <si>
    <t>CONOZCO LOS TERMINOS Y NO SE APLICAN</t>
  </si>
  <si>
    <t>NO CONOZCO LOS TERMINOS</t>
  </si>
  <si>
    <t>PROMEDIO</t>
  </si>
  <si>
    <t>DIFERENCIAL</t>
  </si>
  <si>
    <t>SI</t>
  </si>
  <si>
    <t>NO</t>
  </si>
  <si>
    <t>CONSIDERAS QUE EN LA UAN EXISTE IGUALDAD ENTRE HOMBRES Y MUJERES PARA OCUPAR PUESTOS DIRECTIVOS?</t>
  </si>
  <si>
    <t>FREC. RELATIVA</t>
  </si>
  <si>
    <t>FAVORITISMO MASCULINO</t>
  </si>
  <si>
    <t>EXISTE EQUIDAD DE GENERO</t>
  </si>
  <si>
    <t>FAVORITISMO FEMENINO</t>
  </si>
  <si>
    <t>EQUIDAD</t>
  </si>
  <si>
    <t>CONFORTABLE</t>
  </si>
  <si>
    <t>FRIO</t>
  </si>
  <si>
    <t>CALIDO</t>
  </si>
  <si>
    <t>MUY VARIABLE</t>
  </si>
  <si>
    <t>SIEMPRE</t>
  </si>
  <si>
    <t>ALGUNAS VECES</t>
  </si>
  <si>
    <t>POCAS VECES</t>
  </si>
  <si>
    <t>NUNCA</t>
  </si>
  <si>
    <t>¿EXISTE SUFICIENTE ESPACIO PARA REALIZAR TUS FUNCIONES?</t>
  </si>
  <si>
    <t>EL LUGAR DONDE TE DESEMPEÑAS SE ENCUENTRA EN CONDICIONES DE LIMPIEZA E HIGIENE?</t>
  </si>
  <si>
    <t>LOS BAÑOS EN TU ÁREA DE TRABAJO SE ENCUENTRAN LIMPIOS?</t>
  </si>
  <si>
    <t>COMISION DE SEGURIDAD E HIGIENE</t>
  </si>
  <si>
    <t>¿CONOCES QUIENES INTEGRAN LA COMISION DE SEGURIDAD E HIGIENE DE TU ÁREA?</t>
  </si>
  <si>
    <t>SI, Y ME QUEDA CLARA LA INFORMACION</t>
  </si>
  <si>
    <t>SI, PERO ME QUEDAN ALGUNAS DUDAS</t>
  </si>
  <si>
    <t>NO NOS DAN INFORMACION</t>
  </si>
  <si>
    <t>CUANDO SE SOLICITA EL MANTENIMIENTO EN LA INFRAESTRUCTURA FISICA (ELECTRICIDAD, BAÑOS, PLOMERIA, PUERTAS, ETC.) DE TU ÁREA SE RESULVE DE MANERA ADECUADA?</t>
  </si>
  <si>
    <t>MANTENIMIENTO A LA INFRAESTRUCTURA</t>
  </si>
  <si>
    <t>DISPOSICION DE INFORMACION PARA EL DOCENTE</t>
  </si>
  <si>
    <t>EQUIPO AUDIOVISUAL, LABORATORIOS Y/O TALLERES</t>
  </si>
  <si>
    <t>CONDICIONES DEL PINTARRON</t>
  </si>
  <si>
    <t>EXCELENTES</t>
  </si>
  <si>
    <t>BUENAS</t>
  </si>
  <si>
    <t>REGULARES</t>
  </si>
  <si>
    <t>MALAS</t>
  </si>
  <si>
    <t>PESIMAS</t>
  </si>
  <si>
    <t>MATERIAL PARA EL PERSONAL ADMINISTRATIVO</t>
  </si>
  <si>
    <t>EQUIPO Y HERRAMIENTAS ADMINISTRATIVO</t>
  </si>
  <si>
    <t>MANTENIEMINTO AL EQUIPO DE COMPUTO</t>
  </si>
  <si>
    <t>NO APLICA</t>
  </si>
  <si>
    <t>MATERIAL PARA EL PERSONAL PERSONAL MANUAL</t>
  </si>
  <si>
    <t>EQUIPO Y HERRAMIENTAS PARA PERSONAL MANUAL</t>
  </si>
  <si>
    <t>CONSIDERAS QUE EN TU ÁREA LABORAL SE FOMENTA EL TRABAJO EN EQUIPO?</t>
  </si>
  <si>
    <t>CONSIDERAS QUE AL INTERIOR DE TU ÁREA SE PRESENTAN SITUACIONES DE CONFLICTO ENTRE LOS COLABORADORES QUE PUEDEN AFECTAR EL AMBIENTE LABORAL?</t>
  </si>
  <si>
    <t>DUANTE EL DESARROLLO DE TUS ACTIVIDADES LABORALES, ¿PUEDES EXPRESAR TU PUNTO DE VISTA AUN CUANDO SEA DIFERENTE AL DE LOS DEMAS?</t>
  </si>
  <si>
    <t>CONSIDERAS QUE AL DESEMPEÑAR TU PUESTO DE TRABAJO FUNCIONAN LAS LINEAS DE AUTORIDAD?</t>
  </si>
  <si>
    <t>¿LAS INSTRUCCIONES DE TRABAJO LAS RECIBES EN TIEMPO Y FORMA PARA DESARROLLAR ADECUADAMENTE TUS FUNCIONES?</t>
  </si>
  <si>
    <t>EN CASO DE SURGIR DUDAS SOBRE LA FORMA DE DESARROLLAR TU TRABAJO ¿SON ATENDIDAS EN TIEMPO Y FORMA?</t>
  </si>
  <si>
    <t>ADMINISTRACION DE CARGA DE TRABAJO</t>
  </si>
  <si>
    <t>CONSIDERAS QUE EL RESPONSABLE DEL ÁREA DISTRIBUYE ENTRE TODOS LOS COLABORADORES LAS ACTIVIDADES LABORALES DE MANERA EQUILIBRADA?</t>
  </si>
  <si>
    <t>DESDE TU PUNTO DE VISTA, ¿EL NUMERO DE COLABORADORES EN TU ÁREA ES ADECUADO A LA CARGA DE TRABAJO?</t>
  </si>
  <si>
    <t>NO, FALTA PERSONAL</t>
  </si>
  <si>
    <t>SI, ES ADECUADA</t>
  </si>
  <si>
    <t>NO, EXISTE MAS PERSONAL DEL NECESARIO</t>
  </si>
  <si>
    <t>LA PERSONA QUE EVALUA TU DESEMPEÑO EN LAS ACTIVIDADES QUE TE HAN SIDO ASIGNADAS ¿LO HACE EN BASE A RESULTADOS?</t>
  </si>
  <si>
    <t>EN TU ÁREA DE TRABAJO ¿SE TE BRINDA LA OPORTUNIDAD DE HACER PROPUESTAS DE MEJORA?</t>
  </si>
  <si>
    <t>¿SON CONSIDERADAS TUS PROPUESTAS DE MEJORA?</t>
  </si>
  <si>
    <t>COMO COLABORADOR DE LA UAN ¿REALIZAS CON AGRADO LAS ACTIVIDADES QUE TE HAN SIDO ASIGNADAS?</t>
  </si>
  <si>
    <t>PROBLEMAS CON COMPAÑEROS</t>
  </si>
  <si>
    <t>PROBLEMAS CON JEFES</t>
  </si>
  <si>
    <t>NO ME GUSTA MI ACTIVIDAD ACTUAL</t>
  </si>
  <si>
    <t>NO ME CAMBIARIA</t>
  </si>
  <si>
    <t>SI TUVIERAS LA POSIBILIDAD DE TRABAJAR EN OTRA ÁREA DE LA UAN, CON EL MISMO SALARIO, JORNADA LABORAL Y PRESTACIONES. ¿CUAL SERIA LA PRINCIPAL RAZON DEL CAMBIO?</t>
  </si>
  <si>
    <t>PREPARACION ACADEMICA</t>
  </si>
  <si>
    <t>¿TU PUESTO DE TRABAJO TIENE RELACION CON TU PREPARACION ACADEMICA?</t>
  </si>
  <si>
    <t>¿ESTAS CAPACITADO PARA REALIZAR TUS FUNCIONES LABORALES?</t>
  </si>
  <si>
    <t>CONOCIMIENTO DEL PUESTO</t>
  </si>
  <si>
    <t>CONOCES LAS FUNCIONES, RESPONSABILIDADES Y LINEAS DE AUTORIDAD DEFINIDAS EN TU PUESTO DE TRABAJO?</t>
  </si>
  <si>
    <t>TODAS</t>
  </si>
  <si>
    <t>SOLO LAS PRINCIPALES</t>
  </si>
  <si>
    <t>MUY POCAS</t>
  </si>
  <si>
    <t>LAS DESCONOZCO</t>
  </si>
  <si>
    <t>¿EL DESEMPEÑO DE TU TRABAJO TE PERMITE ADQUIRIR NUEVAS HABILIDADES PARA TU CRECIMIENTO LABORAL?</t>
  </si>
  <si>
    <t>¿LA CARGA DE TRABAJO ASIGNADA POR EL RESPONSABLE DEL ÁREA CORRESPONDE A TU JORNADA LABORAL?</t>
  </si>
  <si>
    <t>NO, NORMALMENTE EL TIEMPO ME ES INSUFICIENTE</t>
  </si>
  <si>
    <t>NO, NORMALMENTE TENGO MUCHO TIEMPO LIBRE</t>
  </si>
  <si>
    <t>POR PARTE DE LA UAN, ¿HAS RECIBIDO CAPACITACION EN EL ULTIMO AÑO?</t>
  </si>
  <si>
    <t>CONSIDERAS QUE EL CONTENIDO DE LOS CURSOS DE CAPACITACION HA SIDO ADECUADO A TUS NECESIDADES:</t>
  </si>
  <si>
    <t>LABORALES</t>
  </si>
  <si>
    <t>PERSONALES</t>
  </si>
  <si>
    <t>AMBAS</t>
  </si>
  <si>
    <t>NINGUNA</t>
  </si>
  <si>
    <t>APERTURA A PROPUESTAS DE MEJORA (MANDOS MEDIOS)</t>
  </si>
  <si>
    <t>¿EL RESPONSABLE DE ÁREA TE PERMITE ASISTIR A LOS CURSOS DE CAPACITACION QUE SE TE CONVOCAN?</t>
  </si>
  <si>
    <t>TIPO DE FUNCIONES:</t>
  </si>
  <si>
    <t>MANUALES:</t>
  </si>
  <si>
    <t>ADMINISTRATIVAS:</t>
  </si>
  <si>
    <t>DOCENTES:</t>
  </si>
  <si>
    <t>DIRECTIVAS:</t>
  </si>
  <si>
    <t>ESCOLARIDAD</t>
  </si>
  <si>
    <t>NINGUNO</t>
  </si>
  <si>
    <t>PRIMARIA</t>
  </si>
  <si>
    <t>SECUNDARIA</t>
  </si>
  <si>
    <t>BACHILLERATO</t>
  </si>
  <si>
    <t>LICENCIATURA</t>
  </si>
  <si>
    <t>MAESTRIA</t>
  </si>
  <si>
    <t>DOCTORADO</t>
  </si>
  <si>
    <t>PREVALALECIENDO:</t>
  </si>
  <si>
    <t>ESPACIO FISICO Y SEGURIDAD</t>
  </si>
  <si>
    <t>NO. DE ENCUESTAS APLICADAS:</t>
  </si>
  <si>
    <t>¿EN TU ÁREA DE TRABAJO SE ATIENDEN ADECUADAMENTE LOS CONFLICTOS QUE SE PRESENTAN?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</si>
  <si>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</si>
  <si>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</si>
  <si>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</si>
  <si>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</si>
  <si>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</si>
  <si>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</si>
  <si>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</si>
  <si>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</si>
  <si>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</si>
  <si>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ASPECTOS DE INFRAESTRUCTURA O UBICACIÓN</t>
  </si>
  <si>
    <t>PROMEDIO GENERAL</t>
  </si>
  <si>
    <t>PROMEDIO CORRESPONDIENTE AL AREA</t>
  </si>
  <si>
    <t>RUBROS SIN RESPONSABILIDAD EN EL AREA</t>
  </si>
  <si>
    <t>NOMENCLATURA</t>
  </si>
  <si>
    <t>¿LA VISION, MISION Y POLITICA DE CALIDAD DE NUESTRA INSTITUCION SE APLICAN ADECUADAMENTE EN TU ÁREA LABORAL?</t>
  </si>
  <si>
    <t>¿CONSIDERAS QUE EN LA UAN TODOS TENEMOS LAS MISMAS OPORTUNIDADES DE CRECIMIENTO LABORAL?</t>
  </si>
  <si>
    <t>¿EN TU ÁREA DE TRABAJO EXISTE LA ILUMINACION ADECUADA PARA LA REALIZACION DE TUS FUNCIONES?</t>
  </si>
  <si>
    <t>EL CLIMA DE TU ÁREA DE TRABAJO REGULARMENTE ES:</t>
  </si>
  <si>
    <t>¿EL NIVEL DE RUIDO TE PERMITE CONCENTRARTE EN TU TRABAJO?</t>
  </si>
  <si>
    <t>¿EL MOBILIARIO CON EL QUE CUENTAS ES COMODO PARA LAS FUNCIONES QUE REALIZAS?</t>
  </si>
  <si>
    <t>¿RECIBES INFORMACION POR PARTE DE LA COMISION DE SEGURIDAD E HIGIENE?</t>
  </si>
  <si>
    <t>PARA EL DESARROLLO DE TUS FUNCIONES ¿TE SIENTES INTEGRADO A TU EQUIPO DE TRABAJO?</t>
  </si>
  <si>
    <t>FREC. 
RELATIVA</t>
  </si>
  <si>
    <t>EDAD</t>
  </si>
  <si>
    <t>SEXO</t>
  </si>
  <si>
    <t>ATG. UAN</t>
  </si>
  <si>
    <t>ATG. PUESTO</t>
  </si>
  <si>
    <t>FUNC</t>
  </si>
  <si>
    <t>CONTR</t>
  </si>
  <si>
    <t>ESCOL</t>
  </si>
  <si>
    <t>MISIO</t>
  </si>
  <si>
    <t>IGUAL</t>
  </si>
  <si>
    <t>EQUID</t>
  </si>
  <si>
    <t>ILUM</t>
  </si>
  <si>
    <t>RUIDO</t>
  </si>
  <si>
    <t>MOBIL</t>
  </si>
  <si>
    <t>ESPAC</t>
  </si>
  <si>
    <t>HIGIE</t>
  </si>
  <si>
    <t>BAÑO</t>
  </si>
  <si>
    <t>C.S.H</t>
  </si>
  <si>
    <t>CCSH</t>
  </si>
  <si>
    <t>MANTO</t>
  </si>
  <si>
    <t>INF DOC</t>
  </si>
  <si>
    <t>EQ. DOC</t>
  </si>
  <si>
    <t>PINT</t>
  </si>
  <si>
    <t>MAT.</t>
  </si>
  <si>
    <t>EQ.AD</t>
  </si>
  <si>
    <t>MNT COM</t>
  </si>
  <si>
    <t>MAT.MA</t>
  </si>
  <si>
    <t>HER MAN</t>
  </si>
  <si>
    <t>T.EQU</t>
  </si>
  <si>
    <t>INTEG</t>
  </si>
  <si>
    <t>OPINI</t>
  </si>
  <si>
    <t>CONFL</t>
  </si>
  <si>
    <t>R.CONF</t>
  </si>
  <si>
    <t>L.AUT</t>
  </si>
  <si>
    <t>DISTR</t>
  </si>
  <si>
    <t>INSTR</t>
  </si>
  <si>
    <t>DUDAS</t>
  </si>
  <si>
    <t>EVALU</t>
  </si>
  <si>
    <t>NOPER</t>
  </si>
  <si>
    <t>AGRA</t>
  </si>
  <si>
    <t>ACADE</t>
  </si>
  <si>
    <t>CAMBIO</t>
  </si>
  <si>
    <t>P.PUE</t>
  </si>
  <si>
    <t>HABIL</t>
  </si>
  <si>
    <t>CARGA</t>
  </si>
  <si>
    <t>CAPAC</t>
  </si>
  <si>
    <t>CURSO</t>
  </si>
  <si>
    <t>C.ADEC</t>
  </si>
  <si>
    <t>PERMI</t>
  </si>
  <si>
    <t>ADSC</t>
  </si>
  <si>
    <t>MNTO</t>
  </si>
  <si>
    <t>CPC</t>
  </si>
  <si>
    <t>DUD</t>
  </si>
  <si>
    <t>CD0</t>
  </si>
  <si>
    <t>ESPC</t>
  </si>
  <si>
    <t>EQ.D</t>
  </si>
  <si>
    <t>CLIM</t>
  </si>
  <si>
    <t>AN. UAN</t>
  </si>
  <si>
    <t>ANT. PUESTO</t>
  </si>
  <si>
    <t>MAT.AD</t>
  </si>
  <si>
    <t>COMPARATIVO</t>
  </si>
  <si>
    <t>INSTITUCION</t>
  </si>
  <si>
    <t>ESPACIO FISICO</t>
  </si>
  <si>
    <t>DOCENTE</t>
  </si>
  <si>
    <t xml:space="preserve">EQUIPO </t>
  </si>
  <si>
    <t>ADMINISTRATIVO</t>
  </si>
  <si>
    <t>MANTTO A EQUIPO DE COMPUTO</t>
  </si>
  <si>
    <t>MANUAL</t>
  </si>
  <si>
    <t>CALIFICACION GENERAL</t>
  </si>
  <si>
    <t xml:space="preserve">   </t>
  </si>
  <si>
    <t xml:space="preserve">     </t>
  </si>
  <si>
    <t>IGUALDAD EN OPORTUNIDADES</t>
  </si>
  <si>
    <t>NO SE ME HA CONVOCADO</t>
  </si>
  <si>
    <t>RUBRO</t>
  </si>
  <si>
    <t xml:space="preserve"> TABLA DE INDICADORES RESULTANTES DE LA ENCUESTA DE AMBIENTE DE TRABAJO 2017</t>
  </si>
  <si>
    <t>RESULTADOS 
GRALES. UAN</t>
  </si>
  <si>
    <t>CALIFICACION ÁREA:</t>
  </si>
  <si>
    <t>DIFERENCIA ENTRE
 PERIODOS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</si>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</sst>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8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Alignment="1"/>
    <xf numFmtId="0" fontId="3" fillId="0" borderId="0" xfId="0" applyFont="1" applyBorder="1" applyAlignment="1"/>
    <xf numFmtId="0" fontId="3" fillId="6" borderId="8" xfId="0" applyFont="1" applyFill="1" applyBorder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shrinkToFit="1"/>
    </xf>
    <xf numFmtId="0" fontId="3" fillId="5" borderId="7" xfId="0" applyFont="1" applyFill="1" applyBorder="1"/>
    <xf numFmtId="10" fontId="0" fillId="5" borderId="7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/>
    <xf numFmtId="0" fontId="9" fillId="6" borderId="8" xfId="0" applyFont="1" applyFill="1" applyBorder="1" applyAlignment="1"/>
    <xf numFmtId="0" fontId="0" fillId="6" borderId="7" xfId="0" applyFill="1" applyBorder="1"/>
    <xf numFmtId="0" fontId="3" fillId="5" borderId="7" xfId="0" applyFont="1" applyFill="1" applyBorder="1" applyAlignment="1">
      <alignment horizontal="center" shrinkToFit="1"/>
    </xf>
    <xf numFmtId="10" fontId="0" fillId="0" borderId="7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shrinkToFit="1"/>
    </xf>
    <xf numFmtId="10" fontId="0" fillId="0" borderId="7" xfId="0" applyNumberFormat="1" applyFill="1" applyBorder="1"/>
    <xf numFmtId="0" fontId="3" fillId="0" borderId="7" xfId="0" applyFont="1" applyFill="1" applyBorder="1" applyAlignment="1">
      <alignment shrinkToFit="1"/>
    </xf>
    <xf numFmtId="0" fontId="3" fillId="0" borderId="7" xfId="0" applyFont="1" applyFill="1" applyBorder="1"/>
    <xf numFmtId="9" fontId="0" fillId="0" borderId="7" xfId="1" applyFon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 shrinkToFit="1"/>
    </xf>
    <xf numFmtId="10" fontId="3" fillId="6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7" xfId="0" applyFont="1" applyFill="1" applyBorder="1" applyAlignment="1"/>
    <xf numFmtId="10" fontId="3" fillId="6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0" fillId="0" borderId="10" xfId="0" applyFill="1" applyBorder="1"/>
    <xf numFmtId="10" fontId="0" fillId="0" borderId="0" xfId="0" applyNumberFormat="1" applyFill="1" applyBorder="1" applyAlignment="1">
      <alignment horizontal="center"/>
    </xf>
    <xf numFmtId="10" fontId="0" fillId="5" borderId="7" xfId="1" applyNumberFormat="1" applyFont="1" applyFill="1" applyBorder="1" applyAlignment="1">
      <alignment horizontal="center" shrinkToFit="1"/>
    </xf>
    <xf numFmtId="10" fontId="0" fillId="0" borderId="7" xfId="1" applyNumberFormat="1" applyFont="1" applyFill="1" applyBorder="1" applyAlignment="1">
      <alignment horizontal="center"/>
    </xf>
    <xf numFmtId="0" fontId="3" fillId="0" borderId="0" xfId="0" applyFont="1"/>
    <xf numFmtId="0" fontId="0" fillId="6" borderId="8" xfId="0" applyFill="1" applyBorder="1"/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10" fontId="0" fillId="5" borderId="7" xfId="0" applyNumberFormat="1" applyFill="1" applyBorder="1"/>
    <xf numFmtId="0" fontId="0" fillId="0" borderId="22" xfId="0" applyBorder="1"/>
    <xf numFmtId="0" fontId="3" fillId="7" borderId="0" xfId="0" applyFont="1" applyFill="1" applyAlignment="1">
      <alignment horizontal="center"/>
    </xf>
    <xf numFmtId="0" fontId="0" fillId="8" borderId="0" xfId="0" applyFill="1"/>
    <xf numFmtId="10" fontId="0" fillId="6" borderId="8" xfId="0" applyNumberFormat="1" applyFill="1" applyBorder="1" applyAlignment="1"/>
    <xf numFmtId="0" fontId="0" fillId="6" borderId="10" xfId="0" applyFill="1" applyBorder="1" applyAlignment="1"/>
    <xf numFmtId="10" fontId="0" fillId="6" borderId="8" xfId="0" applyNumberFormat="1" applyFill="1" applyBorder="1"/>
    <xf numFmtId="0" fontId="0" fillId="6" borderId="10" xfId="0" applyFill="1" applyBorder="1"/>
    <xf numFmtId="0" fontId="4" fillId="0" borderId="0" xfId="0" applyFont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3" fillId="4" borderId="1" xfId="0" applyFont="1" applyFill="1" applyBorder="1" applyAlignment="1"/>
    <xf numFmtId="0" fontId="3" fillId="10" borderId="13" xfId="0" applyFont="1" applyFill="1" applyBorder="1" applyAlignment="1"/>
    <xf numFmtId="0" fontId="3" fillId="9" borderId="4" xfId="0" applyFont="1" applyFill="1" applyBorder="1" applyAlignment="1"/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0" borderId="0" xfId="0" applyFont="1" applyFill="1" applyBorder="1"/>
    <xf numFmtId="0" fontId="3" fillId="6" borderId="2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0" fontId="3" fillId="5" borderId="7" xfId="1" applyNumberFormat="1" applyFont="1" applyFill="1" applyBorder="1"/>
    <xf numFmtId="11" fontId="6" fillId="0" borderId="0" xfId="0" applyNumberFormat="1" applyFont="1"/>
    <xf numFmtId="0" fontId="3" fillId="12" borderId="7" xfId="0" applyFont="1" applyFill="1" applyBorder="1"/>
    <xf numFmtId="0" fontId="0" fillId="12" borderId="8" xfId="0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2" fontId="0" fillId="0" borderId="0" xfId="0" applyNumberFormat="1"/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2" fontId="0" fillId="0" borderId="0" xfId="0" applyNumberFormat="1"/>
    <xf numFmtId="12" fontId="8" fillId="0" borderId="0" xfId="0" applyNumberFormat="1" applyFont="1" applyAlignment="1">
      <alignment horizontal="center" shrinkToFit="1"/>
    </xf>
    <xf numFmtId="12" fontId="8" fillId="0" borderId="0" xfId="0" applyNumberFormat="1" applyFont="1"/>
    <xf numFmtId="12" fontId="8" fillId="0" borderId="0" xfId="0" applyNumberFormat="1" applyFont="1" applyAlignment="1">
      <alignment horizontal="right" shrinkToFit="1"/>
    </xf>
    <xf numFmtId="12" fontId="8" fillId="0" borderId="0" xfId="0" applyNumberFormat="1" applyFont="1" applyAlignment="1">
      <alignment horizontal="right"/>
    </xf>
    <xf numFmtId="12" fontId="0" fillId="0" borderId="0" xfId="0" applyNumberFormat="1" applyAlignment="1">
      <alignment horizontal="right"/>
    </xf>
    <xf numFmtId="10" fontId="0" fillId="0" borderId="0" xfId="1" applyNumberFormat="1" applyFon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0" fontId="2" fillId="4" borderId="14" xfId="0" applyNumberFormat="1" applyFont="1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10" fontId="2" fillId="4" borderId="0" xfId="1" applyNumberFormat="1" applyFont="1" applyFill="1" applyBorder="1" applyAlignment="1">
      <alignment horizontal="center"/>
    </xf>
    <xf numFmtId="10" fontId="2" fillId="4" borderId="14" xfId="1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10" fontId="3" fillId="3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10" fontId="2" fillId="4" borderId="5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13" xfId="0" applyBorder="1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11" fontId="14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10" fontId="0" fillId="0" borderId="0" xfId="1" applyNumberFormat="1" applyFont="1" applyBorder="1"/>
    <xf numFmtId="10" fontId="0" fillId="0" borderId="35" xfId="1" applyNumberFormat="1" applyFont="1" applyBorder="1"/>
    <xf numFmtId="10" fontId="0" fillId="0" borderId="36" xfId="1" applyNumberFormat="1" applyFont="1" applyBorder="1"/>
    <xf numFmtId="10" fontId="0" fillId="0" borderId="37" xfId="1" applyNumberFormat="1" applyFont="1" applyBorder="1"/>
    <xf numFmtId="0" fontId="0" fillId="0" borderId="38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2" fillId="13" borderId="34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10" fontId="0" fillId="0" borderId="42" xfId="0" applyNumberFormat="1" applyBorder="1"/>
    <xf numFmtId="10" fontId="0" fillId="0" borderId="38" xfId="0" applyNumberFormat="1" applyBorder="1"/>
    <xf numFmtId="10" fontId="0" fillId="0" borderId="39" xfId="0" applyNumberFormat="1" applyBorder="1"/>
    <xf numFmtId="10" fontId="0" fillId="0" borderId="34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9" fillId="14" borderId="44" xfId="0" applyFont="1" applyFill="1" applyBorder="1" applyAlignment="1">
      <alignment horizontal="center" vertical="center" wrapText="1"/>
    </xf>
    <xf numFmtId="10" fontId="9" fillId="14" borderId="45" xfId="0" applyNumberFormat="1" applyFont="1" applyFill="1" applyBorder="1" applyAlignment="1">
      <alignment horizontal="center"/>
    </xf>
    <xf numFmtId="10" fontId="7" fillId="14" borderId="45" xfId="1" applyNumberFormat="1" applyFont="1" applyFill="1" applyBorder="1" applyAlignment="1">
      <alignment horizontal="center"/>
    </xf>
    <xf numFmtId="10" fontId="9" fillId="14" borderId="45" xfId="1" applyNumberFormat="1" applyFont="1" applyFill="1" applyBorder="1" applyAlignment="1">
      <alignment horizontal="center"/>
    </xf>
    <xf numFmtId="10" fontId="9" fillId="14" borderId="46" xfId="0" applyNumberFormat="1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/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2" fillId="1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0" fontId="7" fillId="10" borderId="0" xfId="1" applyNumberFormat="1" applyFont="1" applyFill="1" applyBorder="1" applyAlignment="1">
      <alignment horizontal="center"/>
    </xf>
    <xf numFmtId="10" fontId="7" fillId="10" borderId="14" xfId="1" applyNumberFormat="1" applyFont="1" applyFill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0" fontId="7" fillId="10" borderId="0" xfId="0" applyNumberFormat="1" applyFont="1" applyFill="1" applyBorder="1" applyAlignment="1">
      <alignment horizontal="center"/>
    </xf>
    <xf numFmtId="10" fontId="7" fillId="10" borderId="14" xfId="0" applyNumberFormat="1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0" borderId="26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10" fontId="4" fillId="4" borderId="9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0" fontId="2" fillId="4" borderId="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0" fontId="4" fillId="10" borderId="23" xfId="0" applyNumberFormat="1" applyFont="1" applyFill="1" applyBorder="1" applyAlignment="1">
      <alignment horizontal="center"/>
    </xf>
    <xf numFmtId="10" fontId="4" fillId="10" borderId="28" xfId="0" applyNumberFormat="1" applyFont="1" applyFill="1" applyBorder="1" applyAlignment="1">
      <alignment horizontal="center"/>
    </xf>
    <xf numFmtId="10" fontId="7" fillId="3" borderId="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10" fontId="0" fillId="9" borderId="0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9" borderId="13" xfId="0" applyFill="1" applyBorder="1" applyAlignment="1"/>
    <xf numFmtId="0" fontId="0" fillId="9" borderId="0" xfId="0" applyFill="1" applyBorder="1" applyAlignment="1"/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4" fillId="4" borderId="1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10" fontId="0" fillId="11" borderId="0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13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22" xfId="0" applyFont="1" applyFill="1" applyBorder="1" applyAlignment="1">
      <alignment horizontal="left" shrinkToFit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10" fontId="0" fillId="5" borderId="8" xfId="1" applyNumberFormat="1" applyFont="1" applyFill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10" fontId="3" fillId="6" borderId="8" xfId="0" applyNumberFormat="1" applyFont="1" applyFill="1" applyBorder="1" applyAlignment="1">
      <alignment horizontal="center"/>
    </xf>
    <xf numFmtId="10" fontId="3" fillId="6" borderId="10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left" wrapText="1"/>
    </xf>
    <xf numFmtId="10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6" borderId="7" xfId="0" applyFont="1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 shrinkToFit="1"/>
    </xf>
    <xf numFmtId="0" fontId="0" fillId="6" borderId="7" xfId="0" applyFont="1" applyFill="1" applyBorder="1" applyAlignment="1">
      <alignment horizontal="left" wrapText="1" shrinkToFit="1"/>
    </xf>
    <xf numFmtId="0" fontId="10" fillId="6" borderId="8" xfId="0" applyFont="1" applyFill="1" applyBorder="1" applyAlignment="1">
      <alignment horizontal="left" wrapText="1" shrinkToFit="1"/>
    </xf>
    <xf numFmtId="0" fontId="10" fillId="6" borderId="9" xfId="0" applyFont="1" applyFill="1" applyBorder="1" applyAlignment="1">
      <alignment horizontal="left" wrapText="1" shrinkToFit="1"/>
    </xf>
    <xf numFmtId="0" fontId="10" fillId="6" borderId="10" xfId="0" applyFont="1" applyFill="1" applyBorder="1" applyAlignment="1">
      <alignment horizontal="left" wrapText="1" shrinkToFit="1"/>
    </xf>
    <xf numFmtId="10" fontId="0" fillId="6" borderId="8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center" wrapText="1" shrinkToFit="1"/>
    </xf>
    <xf numFmtId="0" fontId="3" fillId="6" borderId="9" xfId="0" applyFont="1" applyFill="1" applyBorder="1" applyAlignment="1">
      <alignment horizontal="center" wrapText="1" shrinkToFit="1"/>
    </xf>
    <xf numFmtId="0" fontId="3" fillId="6" borderId="10" xfId="0" applyFont="1" applyFill="1" applyBorder="1" applyAlignment="1">
      <alignment horizontal="center" wrapText="1" shrinkToFit="1"/>
    </xf>
    <xf numFmtId="0" fontId="11" fillId="6" borderId="8" xfId="0" applyFont="1" applyFill="1" applyBorder="1" applyAlignment="1">
      <alignment horizontal="left" wrapText="1" shrinkToFit="1"/>
    </xf>
    <xf numFmtId="0" fontId="11" fillId="6" borderId="9" xfId="0" applyFont="1" applyFill="1" applyBorder="1" applyAlignment="1">
      <alignment horizontal="left" wrapText="1" shrinkToFit="1"/>
    </xf>
    <xf numFmtId="0" fontId="11" fillId="6" borderId="10" xfId="0" applyFont="1" applyFill="1" applyBorder="1" applyAlignment="1">
      <alignment horizontal="left" wrapText="1" shrinkToFit="1"/>
    </xf>
    <xf numFmtId="0" fontId="0" fillId="6" borderId="8" xfId="0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 shrinkToFit="1"/>
    </xf>
    <xf numFmtId="0" fontId="0" fillId="6" borderId="10" xfId="0" applyFont="1" applyFill="1" applyBorder="1" applyAlignment="1">
      <alignment horizontal="left" wrapText="1" shrinkToFit="1"/>
    </xf>
    <xf numFmtId="0" fontId="12" fillId="6" borderId="8" xfId="0" applyFont="1" applyFill="1" applyBorder="1" applyAlignment="1">
      <alignment horizontal="left" wrapText="1" shrinkToFit="1"/>
    </xf>
    <xf numFmtId="0" fontId="12" fillId="6" borderId="9" xfId="0" applyFont="1" applyFill="1" applyBorder="1" applyAlignment="1">
      <alignment horizontal="left" wrapText="1" shrinkToFit="1"/>
    </xf>
    <xf numFmtId="0" fontId="12" fillId="6" borderId="10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 wrapText="1" shrinkToFit="1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B8B8"/>
      <color rgb="FFAEDBEE"/>
      <color rgb="FF00569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COMPARATIVO POR RUBROS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COMPARATIVO!$L$4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696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COMPARATIVO!$L$5:$L$10</c:f>
              <c:numCache>
                <c:formatCode>0.00%</c:formatCode>
                <c:ptCount val="6"/>
                <c:pt idx="0">
                  <c:v>0.84259259259259256</c:v>
                </c:pt>
                <c:pt idx="1">
                  <c:v>0.8835978835978836</c:v>
                </c:pt>
                <c:pt idx="2">
                  <c:v>0.75308641975308654</c:v>
                </c:pt>
                <c:pt idx="3">
                  <c:v>0.8580246913580245</c:v>
                </c:pt>
                <c:pt idx="4">
                  <c:v>0.82870370370370372</c:v>
                </c:pt>
                <c:pt idx="5">
                  <c:v>0.84104938271604945</c:v>
                </c:pt>
              </c:numCache>
            </c:numRef>
          </c:val>
        </c:ser>
        <c:ser>
          <c:idx val="1"/>
          <c:order val="1"/>
          <c:tx>
            <c:strRef>
              <c:f>COMPARATIVO!$M$4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DBEE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COMPARATIVO!$M$5:$M$10</c:f>
              <c:numCache>
                <c:formatCode>0.00%</c:formatCode>
                <c:ptCount val="6"/>
                <c:pt idx="0">
                  <c:v>1</c:v>
                </c:pt>
                <c:pt idx="1">
                  <c:v>0.91904761904761911</c:v>
                </c:pt>
                <c:pt idx="2">
                  <c:v>1</c:v>
                </c:pt>
                <c:pt idx="3">
                  <c:v>0.8833333333333333</c:v>
                </c:pt>
                <c:pt idx="4">
                  <c:v>0.96388888888888891</c:v>
                </c:pt>
                <c:pt idx="5">
                  <c:v>0.93055555555555569</c:v>
                </c:pt>
              </c:numCache>
            </c:numRef>
          </c:val>
        </c:ser>
        <c:ser>
          <c:idx val="2"/>
          <c:order val="2"/>
          <c:tx>
            <c:strRef>
              <c:f>COMPARATIVO!$N$4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COMPARATIVO!$N$5:$N$10</c:f>
              <c:numCache>
                <c:formatCode>0.00%</c:formatCode>
                <c:ptCount val="6"/>
                <c:pt idx="0">
                  <c:v>0.92222222222222217</c:v>
                </c:pt>
                <c:pt idx="1">
                  <c:v>0.84365079365079354</c:v>
                </c:pt>
                <c:pt idx="2">
                  <c:v>0.92592592592592593</c:v>
                </c:pt>
                <c:pt idx="3">
                  <c:v>0.81851851851851853</c:v>
                </c:pt>
                <c:pt idx="4">
                  <c:v>0.88287037037037031</c:v>
                </c:pt>
                <c:pt idx="5">
                  <c:v>0.79259259259259263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4260352"/>
        <c:axId val="104261888"/>
        <c:axId val="0"/>
      </c:bar3DChart>
      <c:catAx>
        <c:axId val="104260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261888"/>
        <c:crosses val="autoZero"/>
        <c:auto val="1"/>
        <c:lblAlgn val="ctr"/>
        <c:lblOffset val="100"/>
        <c:noMultiLvlLbl val="0"/>
      </c:catAx>
      <c:valAx>
        <c:axId val="104261888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4260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742949</xdr:colOff>
      <xdr:row>11</xdr:row>
      <xdr:rowOff>176212</xdr:rowOff>
    </xdr:from>
    <xdr:to>
      <xdr:col>21</xdr:col>
      <xdr:colOff>561975</xdr:colOff>
      <xdr:row>44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DAS LAS AREAS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topLeftCell="K1" workbookViewId="0">
      <selection activeCell="AR24" sqref="AR24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5" customFormat="1" x14ac:dyDescent="0.2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47</v>
      </c>
      <c r="AV1" s="5">
        <v>46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</row>
    <row r="2" spans="1:53" s="3" customFormat="1" x14ac:dyDescent="0.2"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</v>
      </c>
      <c r="N2" s="3" t="s">
        <v>197</v>
      </c>
      <c r="O2" s="3" t="s">
        <v>198</v>
      </c>
      <c r="P2" s="3" t="s">
        <v>199</v>
      </c>
      <c r="Q2" s="3" t="s">
        <v>200</v>
      </c>
      <c r="R2" s="3" t="s">
        <v>201</v>
      </c>
      <c r="S2" s="3" t="s">
        <v>204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208</v>
      </c>
      <c r="Z2" s="4" t="s">
        <v>209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221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3" t="s">
        <v>225</v>
      </c>
      <c r="AW2" s="3" t="s">
        <v>230</v>
      </c>
      <c r="AX2" s="3" t="s">
        <v>231</v>
      </c>
      <c r="AY2" s="3" t="s">
        <v>232</v>
      </c>
      <c r="AZ2" s="3" t="s">
        <v>233</v>
      </c>
      <c r="BA2" s="3" t="s">
        <v>234</v>
      </c>
    </row>
    <row r="3" spans="1:53" ht="15" x14ac:dyDescent="0.25">
      <c r="A3" s="1">
        <v>1630</v>
      </c>
      <c r="B3">
        <v>4</v>
      </c>
      <c r="C3">
        <v>2</v>
      </c>
      <c r="D3">
        <v>6</v>
      </c>
      <c r="E3">
        <v>6</v>
      </c>
      <c r="F3">
        <v>2</v>
      </c>
      <c r="G3">
        <v>1</v>
      </c>
      <c r="H3">
        <v>5</v>
      </c>
      <c r="I3">
        <v>1</v>
      </c>
      <c r="J3">
        <v>2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/>
      <c r="W3"/>
      <c r="X3"/>
      <c r="Y3">
        <v>1</v>
      </c>
      <c r="Z3">
        <v>1</v>
      </c>
      <c r="AA3">
        <v>1</v>
      </c>
      <c r="AB3"/>
      <c r="AC3"/>
      <c r="AD3">
        <v>2</v>
      </c>
      <c r="AE3">
        <v>2</v>
      </c>
      <c r="AF3">
        <v>1</v>
      </c>
      <c r="AG3">
        <v>2</v>
      </c>
      <c r="AH3">
        <v>1</v>
      </c>
      <c r="AI3">
        <v>2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500</v>
      </c>
    </row>
    <row r="4" spans="1:53" ht="15" x14ac:dyDescent="0.25">
      <c r="A4" s="1">
        <v>1631</v>
      </c>
      <c r="B4">
        <v>4</v>
      </c>
      <c r="C4">
        <v>2</v>
      </c>
      <c r="D4">
        <v>5</v>
      </c>
      <c r="E4">
        <v>4</v>
      </c>
      <c r="F4">
        <v>2</v>
      </c>
      <c r="G4">
        <v>1</v>
      </c>
      <c r="H4">
        <v>3</v>
      </c>
      <c r="I4">
        <v>2</v>
      </c>
      <c r="J4">
        <v>2</v>
      </c>
      <c r="K4">
        <v>2</v>
      </c>
      <c r="L4">
        <v>1</v>
      </c>
      <c r="M4">
        <v>3</v>
      </c>
      <c r="N4">
        <v>1</v>
      </c>
      <c r="O4">
        <v>1</v>
      </c>
      <c r="P4">
        <v>1</v>
      </c>
      <c r="Q4">
        <v>1</v>
      </c>
      <c r="R4">
        <v>2</v>
      </c>
      <c r="S4">
        <v>1</v>
      </c>
      <c r="T4">
        <v>1</v>
      </c>
      <c r="U4">
        <v>1</v>
      </c>
      <c r="V4"/>
      <c r="W4"/>
      <c r="X4"/>
      <c r="Y4">
        <v>1</v>
      </c>
      <c r="Z4">
        <v>1</v>
      </c>
      <c r="AA4">
        <v>1</v>
      </c>
      <c r="AB4"/>
      <c r="AC4"/>
      <c r="AD4">
        <v>1</v>
      </c>
      <c r="AE4">
        <v>1</v>
      </c>
      <c r="AF4">
        <v>1</v>
      </c>
      <c r="AG4">
        <v>2</v>
      </c>
      <c r="AH4">
        <v>2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5</v>
      </c>
      <c r="AS4">
        <v>1</v>
      </c>
      <c r="AT4">
        <v>2</v>
      </c>
      <c r="AU4">
        <v>2</v>
      </c>
      <c r="AV4">
        <v>1</v>
      </c>
      <c r="AW4">
        <v>1</v>
      </c>
      <c r="AX4">
        <v>1</v>
      </c>
      <c r="AY4">
        <v>3</v>
      </c>
      <c r="AZ4">
        <v>1</v>
      </c>
      <c r="BA4">
        <v>500</v>
      </c>
    </row>
    <row r="5" spans="1:53" ht="15" x14ac:dyDescent="0.25">
      <c r="A5" s="1">
        <v>1632</v>
      </c>
      <c r="B5">
        <v>2</v>
      </c>
      <c r="C5">
        <v>1</v>
      </c>
      <c r="D5">
        <v>3</v>
      </c>
      <c r="E5">
        <v>3</v>
      </c>
      <c r="F5">
        <v>2</v>
      </c>
      <c r="G5">
        <v>1</v>
      </c>
      <c r="H5">
        <v>5</v>
      </c>
      <c r="I5">
        <v>1</v>
      </c>
      <c r="J5">
        <v>1</v>
      </c>
      <c r="K5">
        <v>2</v>
      </c>
      <c r="L5">
        <v>2</v>
      </c>
      <c r="M5">
        <v>3</v>
      </c>
      <c r="N5">
        <v>1</v>
      </c>
      <c r="O5">
        <v>3</v>
      </c>
      <c r="P5">
        <v>2</v>
      </c>
      <c r="Q5">
        <v>2</v>
      </c>
      <c r="R5">
        <v>2</v>
      </c>
      <c r="S5">
        <v>3</v>
      </c>
      <c r="T5">
        <v>1</v>
      </c>
      <c r="U5">
        <v>1</v>
      </c>
      <c r="V5"/>
      <c r="W5"/>
      <c r="X5"/>
      <c r="Y5">
        <v>3</v>
      </c>
      <c r="Z5">
        <v>3</v>
      </c>
      <c r="AA5">
        <v>2</v>
      </c>
      <c r="AB5"/>
      <c r="AC5"/>
      <c r="AD5">
        <v>1</v>
      </c>
      <c r="AE5">
        <v>1</v>
      </c>
      <c r="AF5">
        <v>1</v>
      </c>
      <c r="AG5">
        <v>3</v>
      </c>
      <c r="AH5">
        <v>2</v>
      </c>
      <c r="AI5">
        <v>2</v>
      </c>
      <c r="AJ5">
        <v>2</v>
      </c>
      <c r="AK5">
        <v>1</v>
      </c>
      <c r="AL5">
        <v>1</v>
      </c>
      <c r="AM5">
        <v>2</v>
      </c>
      <c r="AN5">
        <v>2</v>
      </c>
      <c r="AO5">
        <v>2</v>
      </c>
      <c r="AP5">
        <v>2</v>
      </c>
      <c r="AQ5">
        <v>1</v>
      </c>
      <c r="AR5">
        <v>5</v>
      </c>
      <c r="AS5">
        <v>1</v>
      </c>
      <c r="AT5">
        <v>2</v>
      </c>
      <c r="AU5">
        <v>2</v>
      </c>
      <c r="AV5">
        <v>1</v>
      </c>
      <c r="AW5">
        <v>1</v>
      </c>
      <c r="AX5">
        <v>1</v>
      </c>
      <c r="AY5">
        <v>3</v>
      </c>
      <c r="AZ5">
        <v>1</v>
      </c>
      <c r="BA5">
        <v>500</v>
      </c>
    </row>
    <row r="6" spans="1:53" ht="15" x14ac:dyDescent="0.25">
      <c r="A6" s="1">
        <v>1633</v>
      </c>
      <c r="B6">
        <v>5</v>
      </c>
      <c r="C6">
        <v>2</v>
      </c>
      <c r="D6">
        <v>6</v>
      </c>
      <c r="E6">
        <v>6</v>
      </c>
      <c r="F6">
        <v>2</v>
      </c>
      <c r="G6">
        <v>1</v>
      </c>
      <c r="H6">
        <v>4</v>
      </c>
      <c r="I6">
        <v>1</v>
      </c>
      <c r="J6">
        <v>1</v>
      </c>
      <c r="K6">
        <v>2</v>
      </c>
      <c r="L6">
        <v>1</v>
      </c>
      <c r="M6">
        <v>1</v>
      </c>
      <c r="N6">
        <v>1</v>
      </c>
      <c r="O6">
        <v>2</v>
      </c>
      <c r="P6">
        <v>1</v>
      </c>
      <c r="Q6">
        <v>2</v>
      </c>
      <c r="R6">
        <v>1</v>
      </c>
      <c r="S6">
        <v>1</v>
      </c>
      <c r="T6">
        <v>1</v>
      </c>
      <c r="U6">
        <v>1</v>
      </c>
      <c r="V6"/>
      <c r="W6"/>
      <c r="X6"/>
      <c r="Y6">
        <v>1</v>
      </c>
      <c r="Z6">
        <v>1</v>
      </c>
      <c r="AA6">
        <v>1</v>
      </c>
      <c r="AB6"/>
      <c r="AC6"/>
      <c r="AD6">
        <v>2</v>
      </c>
      <c r="AE6">
        <v>2</v>
      </c>
      <c r="AF6">
        <v>1</v>
      </c>
      <c r="AG6">
        <v>4</v>
      </c>
      <c r="AH6">
        <v>1</v>
      </c>
      <c r="AI6">
        <v>1</v>
      </c>
      <c r="AJ6">
        <v>1</v>
      </c>
      <c r="AK6">
        <v>1</v>
      </c>
      <c r="AL6">
        <v>1</v>
      </c>
      <c r="AM6">
        <v>2</v>
      </c>
      <c r="AN6">
        <v>2</v>
      </c>
      <c r="AO6">
        <v>2</v>
      </c>
      <c r="AP6">
        <v>2</v>
      </c>
      <c r="AQ6">
        <v>1</v>
      </c>
      <c r="AR6">
        <v>5</v>
      </c>
      <c r="AS6">
        <v>1</v>
      </c>
      <c r="AT6">
        <v>1</v>
      </c>
      <c r="AU6">
        <v>2</v>
      </c>
      <c r="AV6">
        <v>2</v>
      </c>
      <c r="AW6">
        <v>1</v>
      </c>
      <c r="AX6">
        <v>1</v>
      </c>
      <c r="AY6">
        <v>3</v>
      </c>
      <c r="AZ6">
        <v>1</v>
      </c>
      <c r="BA6">
        <v>500</v>
      </c>
    </row>
    <row r="7" spans="1:53" ht="15" x14ac:dyDescent="0.25">
      <c r="A7" s="1">
        <v>1634</v>
      </c>
      <c r="B7">
        <v>5</v>
      </c>
      <c r="C7">
        <v>1</v>
      </c>
      <c r="D7">
        <v>3</v>
      </c>
      <c r="E7">
        <v>3</v>
      </c>
      <c r="F7">
        <v>1</v>
      </c>
      <c r="G7">
        <v>1</v>
      </c>
      <c r="H7">
        <v>4</v>
      </c>
      <c r="I7">
        <v>1</v>
      </c>
      <c r="J7">
        <v>2</v>
      </c>
      <c r="K7">
        <v>2</v>
      </c>
      <c r="L7">
        <v>1</v>
      </c>
      <c r="M7">
        <v>4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/>
      <c r="W7"/>
      <c r="X7"/>
      <c r="Y7"/>
      <c r="Z7"/>
      <c r="AA7"/>
      <c r="AB7">
        <v>2</v>
      </c>
      <c r="AC7">
        <v>2</v>
      </c>
      <c r="AD7">
        <v>1</v>
      </c>
      <c r="AE7">
        <v>1</v>
      </c>
      <c r="AF7">
        <v>1</v>
      </c>
      <c r="AG7">
        <v>4</v>
      </c>
      <c r="AH7">
        <v>2</v>
      </c>
      <c r="AI7">
        <v>2</v>
      </c>
      <c r="AJ7">
        <v>1</v>
      </c>
      <c r="AK7">
        <v>2</v>
      </c>
      <c r="AL7">
        <v>1</v>
      </c>
      <c r="AM7">
        <v>1</v>
      </c>
      <c r="AN7">
        <v>2</v>
      </c>
      <c r="AO7">
        <v>2</v>
      </c>
      <c r="AP7">
        <v>2</v>
      </c>
      <c r="AQ7">
        <v>1</v>
      </c>
      <c r="AR7">
        <v>2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500</v>
      </c>
    </row>
    <row r="8" spans="1:53" ht="15" x14ac:dyDescent="0.25">
      <c r="A8" s="1">
        <v>1635</v>
      </c>
      <c r="B8">
        <v>5</v>
      </c>
      <c r="C8">
        <v>1</v>
      </c>
      <c r="D8">
        <v>3</v>
      </c>
      <c r="E8">
        <v>3</v>
      </c>
      <c r="F8">
        <v>1</v>
      </c>
      <c r="G8">
        <v>1</v>
      </c>
      <c r="H8">
        <v>5</v>
      </c>
      <c r="I8">
        <v>1</v>
      </c>
      <c r="J8">
        <v>1</v>
      </c>
      <c r="K8">
        <v>2</v>
      </c>
      <c r="L8">
        <v>1</v>
      </c>
      <c r="M8">
        <v>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/>
      <c r="W8"/>
      <c r="X8"/>
      <c r="Y8"/>
      <c r="Z8"/>
      <c r="AA8"/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2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500</v>
      </c>
    </row>
    <row r="9" spans="1:53" ht="15" x14ac:dyDescent="0.25">
      <c r="A9" s="1">
        <v>1636</v>
      </c>
      <c r="B9">
        <v>6</v>
      </c>
      <c r="C9">
        <v>1</v>
      </c>
      <c r="D9">
        <v>4</v>
      </c>
      <c r="E9">
        <v>4</v>
      </c>
      <c r="F9">
        <v>1</v>
      </c>
      <c r="G9">
        <v>1</v>
      </c>
      <c r="H9">
        <v>5</v>
      </c>
      <c r="I9">
        <v>1</v>
      </c>
      <c r="J9">
        <v>1</v>
      </c>
      <c r="K9">
        <v>2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2</v>
      </c>
      <c r="S9">
        <v>1</v>
      </c>
      <c r="T9">
        <v>1</v>
      </c>
      <c r="U9">
        <v>1</v>
      </c>
      <c r="V9"/>
      <c r="W9"/>
      <c r="X9"/>
      <c r="Y9"/>
      <c r="Z9"/>
      <c r="AA9"/>
      <c r="AB9">
        <v>2</v>
      </c>
      <c r="AC9">
        <v>2</v>
      </c>
      <c r="AD9">
        <v>1</v>
      </c>
      <c r="AE9">
        <v>1</v>
      </c>
      <c r="AF9">
        <v>1</v>
      </c>
      <c r="AG9">
        <v>4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3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500</v>
      </c>
    </row>
    <row r="10" spans="1:53" ht="15" x14ac:dyDescent="0.25">
      <c r="A10" s="1">
        <v>1637</v>
      </c>
      <c r="B10">
        <v>3</v>
      </c>
      <c r="C10">
        <v>1</v>
      </c>
      <c r="D10">
        <v>4</v>
      </c>
      <c r="E10">
        <v>4</v>
      </c>
      <c r="F10">
        <v>1</v>
      </c>
      <c r="G10">
        <v>1</v>
      </c>
      <c r="H10">
        <v>3</v>
      </c>
      <c r="I10">
        <v>1</v>
      </c>
      <c r="J10">
        <v>1</v>
      </c>
      <c r="K10">
        <v>2</v>
      </c>
      <c r="L10">
        <v>1</v>
      </c>
      <c r="M10">
        <v>4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/>
      <c r="W10"/>
      <c r="X10"/>
      <c r="Y10"/>
      <c r="Z10"/>
      <c r="AA10"/>
      <c r="AB10">
        <v>2</v>
      </c>
      <c r="AC10">
        <v>2</v>
      </c>
      <c r="AD10">
        <v>1</v>
      </c>
      <c r="AE10">
        <v>1</v>
      </c>
      <c r="AF10">
        <v>1</v>
      </c>
      <c r="AG10">
        <v>3</v>
      </c>
      <c r="AH10">
        <v>1</v>
      </c>
      <c r="AI10">
        <v>1</v>
      </c>
      <c r="AJ10">
        <v>2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2</v>
      </c>
      <c r="AS10">
        <v>1</v>
      </c>
      <c r="AT10">
        <v>1</v>
      </c>
      <c r="AU10">
        <v>2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500</v>
      </c>
    </row>
    <row r="11" spans="1:53" ht="15" x14ac:dyDescent="0.25">
      <c r="A11" s="1">
        <v>1638</v>
      </c>
      <c r="B11">
        <v>2</v>
      </c>
      <c r="C11">
        <v>1</v>
      </c>
      <c r="D11">
        <v>2</v>
      </c>
      <c r="E11">
        <v>2</v>
      </c>
      <c r="F11">
        <v>1</v>
      </c>
      <c r="G11">
        <v>1</v>
      </c>
      <c r="H11">
        <v>4</v>
      </c>
      <c r="I11">
        <v>1</v>
      </c>
      <c r="J11">
        <v>1</v>
      </c>
      <c r="K11">
        <v>2</v>
      </c>
      <c r="L11">
        <v>1</v>
      </c>
      <c r="M11">
        <v>4</v>
      </c>
      <c r="N11">
        <v>1</v>
      </c>
      <c r="O11">
        <v>1</v>
      </c>
      <c r="P11">
        <v>2</v>
      </c>
      <c r="Q11">
        <v>1</v>
      </c>
      <c r="R11">
        <v>1</v>
      </c>
      <c r="S11">
        <v>1</v>
      </c>
      <c r="T11">
        <v>1</v>
      </c>
      <c r="U11">
        <v>1</v>
      </c>
      <c r="V11"/>
      <c r="W11"/>
      <c r="X11"/>
      <c r="Y11"/>
      <c r="Z11"/>
      <c r="AA11"/>
      <c r="AB11">
        <v>2</v>
      </c>
      <c r="AC11">
        <v>2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2</v>
      </c>
      <c r="AP11">
        <v>2</v>
      </c>
      <c r="AQ11">
        <v>1</v>
      </c>
      <c r="AR11">
        <v>2</v>
      </c>
      <c r="AS11">
        <v>1</v>
      </c>
      <c r="AT11">
        <v>1</v>
      </c>
      <c r="AU11">
        <v>2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500</v>
      </c>
    </row>
  </sheetData>
  <autoFilter ref="A1:BA1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workbookViewId="0">
      <selection activeCell="H35" sqref="H35"/>
    </sheetView>
  </sheetViews>
  <sheetFormatPr baseColWidth="10" defaultRowHeight="15" x14ac:dyDescent="0.25"/>
  <cols>
    <col min="1" max="1" width="7.85546875" style="102" customWidth="1"/>
    <col min="2" max="2" width="4.85546875" customWidth="1"/>
    <col min="3" max="3" width="21.28515625" customWidth="1"/>
    <col min="4" max="4" width="11.85546875" bestFit="1" customWidth="1"/>
    <col min="8" max="8" width="10" customWidth="1"/>
  </cols>
  <sheetData>
    <row r="1" spans="1:6" x14ac:dyDescent="0.25">
      <c r="A1" s="104"/>
      <c r="B1" s="19"/>
      <c r="C1" s="343" t="s">
        <v>37</v>
      </c>
      <c r="D1" s="344"/>
      <c r="E1" s="344"/>
      <c r="F1" s="345"/>
    </row>
    <row r="2" spans="1:6" ht="13.5" customHeight="1" x14ac:dyDescent="0.25">
      <c r="A2" s="104"/>
      <c r="B2" s="19">
        <v>29</v>
      </c>
      <c r="C2" s="346" t="s">
        <v>104</v>
      </c>
      <c r="D2" s="347"/>
      <c r="E2" s="347"/>
      <c r="F2" s="34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2017'!AD:AD,B4)</f>
        <v>13</v>
      </c>
      <c r="E4" s="46">
        <f>D4/SUM(D4:D7)</f>
        <v>0.8666666666666667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2017'!AD:AD,B5)</f>
        <v>2</v>
      </c>
      <c r="E5" s="46">
        <f>D5/SUM(D4:D7)</f>
        <v>0.13333333333333333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2017'!AD:AD,B6)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2017'!AD:AD,B7)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0.9555555555555556</v>
      </c>
      <c r="E8" s="16"/>
      <c r="F8" s="16"/>
    </row>
    <row r="9" spans="1:6" ht="29.25" customHeight="1" x14ac:dyDescent="0.25">
      <c r="A9" s="104"/>
      <c r="B9" s="19">
        <v>30</v>
      </c>
      <c r="C9" s="349" t="s">
        <v>184</v>
      </c>
      <c r="D9" s="350"/>
      <c r="E9" s="350"/>
      <c r="F9" s="351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1</v>
      </c>
      <c r="B11" s="16">
        <v>1</v>
      </c>
      <c r="C11" s="34" t="s">
        <v>76</v>
      </c>
      <c r="D11" s="33">
        <f>COUNTIF('BASE DE DATOS 2017'!AE:AE,B11)</f>
        <v>12</v>
      </c>
      <c r="E11" s="46">
        <f>D11/SUM(D11:D14)</f>
        <v>0.8</v>
      </c>
      <c r="F11" s="33"/>
    </row>
    <row r="12" spans="1:6" x14ac:dyDescent="0.25">
      <c r="A12" s="105">
        <v>0.66666666666666663</v>
      </c>
      <c r="B12" s="16">
        <v>2</v>
      </c>
      <c r="C12" s="34" t="s">
        <v>77</v>
      </c>
      <c r="D12" s="33">
        <f>COUNTIF('BASE DE DATOS 2017'!AE:AE,B12)</f>
        <v>3</v>
      </c>
      <c r="E12" s="46">
        <f>D12/SUM(D11:D14)</f>
        <v>0.2</v>
      </c>
      <c r="F12" s="33"/>
    </row>
    <row r="13" spans="1:6" x14ac:dyDescent="0.25">
      <c r="A13" s="106">
        <v>0.33333333333333331</v>
      </c>
      <c r="B13" s="16">
        <v>3</v>
      </c>
      <c r="C13" s="34" t="s">
        <v>78</v>
      </c>
      <c r="D13" s="33">
        <f>COUNTIF('BASE DE DATOS 2017'!AE:AE,B13)</f>
        <v>0</v>
      </c>
      <c r="E13" s="46">
        <f>D13/SUM(D11:D14)</f>
        <v>0</v>
      </c>
      <c r="F13" s="33"/>
    </row>
    <row r="14" spans="1:6" x14ac:dyDescent="0.25">
      <c r="A14" s="106">
        <v>0</v>
      </c>
      <c r="B14" s="16">
        <v>4</v>
      </c>
      <c r="C14" s="34" t="s">
        <v>79</v>
      </c>
      <c r="D14" s="33">
        <f>COUNTIF('BASE DE DATOS 2017'!AE:AE,B14)</f>
        <v>0</v>
      </c>
      <c r="E14" s="46">
        <f>D14/SUM(D11:D14)</f>
        <v>0</v>
      </c>
      <c r="F14" s="16"/>
    </row>
    <row r="15" spans="1:6" x14ac:dyDescent="0.25">
      <c r="D15" s="14">
        <f>((D11*A11)+(D12*A12)+(D13*A13)+(D14*A14))/(SUM(D11:D14)*A11)</f>
        <v>0.93333333333333335</v>
      </c>
      <c r="E15" s="16"/>
      <c r="F15" s="16"/>
    </row>
    <row r="16" spans="1:6" x14ac:dyDescent="0.25">
      <c r="E16" s="341">
        <f>AVERAGE(D8,D15)</f>
        <v>0.94444444444444442</v>
      </c>
      <c r="F16" s="342"/>
    </row>
    <row r="18" spans="1:7" x14ac:dyDescent="0.25">
      <c r="B18" s="10"/>
      <c r="C18" s="331" t="s">
        <v>38</v>
      </c>
      <c r="D18" s="331"/>
      <c r="E18" s="331"/>
      <c r="F18" s="332"/>
      <c r="G18" s="47"/>
    </row>
    <row r="19" spans="1:7" ht="22.5" customHeight="1" x14ac:dyDescent="0.25">
      <c r="A19" s="104"/>
      <c r="B19" s="19">
        <v>31</v>
      </c>
      <c r="C19" s="352" t="s">
        <v>106</v>
      </c>
      <c r="D19" s="353"/>
      <c r="E19" s="353"/>
      <c r="F19" s="354"/>
    </row>
    <row r="20" spans="1:7" x14ac:dyDescent="0.25">
      <c r="A20" s="103" t="s">
        <v>54</v>
      </c>
      <c r="B20" s="16"/>
      <c r="C20" s="35"/>
      <c r="D20" s="32" t="s">
        <v>55</v>
      </c>
      <c r="E20" s="45" t="s">
        <v>67</v>
      </c>
      <c r="F20" s="35"/>
    </row>
    <row r="21" spans="1:7" x14ac:dyDescent="0.25">
      <c r="A21" s="105">
        <v>1</v>
      </c>
      <c r="B21" s="16">
        <v>1</v>
      </c>
      <c r="C21" s="34" t="s">
        <v>76</v>
      </c>
      <c r="D21" s="33">
        <f>COUNTIF('BASE DE DATOS 2017'!AF:AF,B21)</f>
        <v>13</v>
      </c>
      <c r="E21" s="46">
        <f>D21/SUM(D21:D24)</f>
        <v>0.8666666666666667</v>
      </c>
      <c r="F21" s="33"/>
    </row>
    <row r="22" spans="1:7" x14ac:dyDescent="0.25">
      <c r="A22" s="105">
        <v>0.66666666666666663</v>
      </c>
      <c r="B22" s="16">
        <v>2</v>
      </c>
      <c r="C22" s="34" t="s">
        <v>77</v>
      </c>
      <c r="D22" s="33">
        <f>COUNTIF('BASE DE DATOS 2017'!AF:AF,B22)</f>
        <v>2</v>
      </c>
      <c r="E22" s="46">
        <f>D22/SUM(D21:D24)</f>
        <v>0.13333333333333333</v>
      </c>
      <c r="F22" s="33"/>
    </row>
    <row r="23" spans="1:7" x14ac:dyDescent="0.25">
      <c r="A23" s="106">
        <v>0.33333333333333331</v>
      </c>
      <c r="B23" s="16">
        <v>3</v>
      </c>
      <c r="C23" s="34" t="s">
        <v>78</v>
      </c>
      <c r="D23" s="33">
        <f>COUNTIF('BASE DE DATOS 2017'!AF:AF,B23)</f>
        <v>0</v>
      </c>
      <c r="E23" s="46">
        <f>D23/SUM(D21:D24)</f>
        <v>0</v>
      </c>
      <c r="F23" s="33"/>
    </row>
    <row r="24" spans="1:7" x14ac:dyDescent="0.25">
      <c r="A24" s="106">
        <v>0</v>
      </c>
      <c r="B24" s="16">
        <v>4</v>
      </c>
      <c r="C24" s="34" t="s">
        <v>79</v>
      </c>
      <c r="D24" s="33">
        <f>COUNTIF('BASE DE DATOS 2017'!AF:AF,B24)</f>
        <v>0</v>
      </c>
      <c r="E24" s="46">
        <f>D24/SUM(D21:D24)</f>
        <v>0</v>
      </c>
      <c r="F24" s="16"/>
    </row>
    <row r="25" spans="1:7" x14ac:dyDescent="0.25">
      <c r="D25" s="14">
        <f>((D21*A21)+(D22*A22)+(D23*A23)+(D24*A24))/(SUM(D21:D24)*A21)</f>
        <v>0.9555555555555556</v>
      </c>
      <c r="E25" s="16"/>
      <c r="F25" s="16"/>
    </row>
    <row r="27" spans="1:7" x14ac:dyDescent="0.25">
      <c r="B27" s="10"/>
      <c r="C27" s="331" t="s">
        <v>39</v>
      </c>
      <c r="D27" s="331"/>
      <c r="E27" s="331"/>
      <c r="F27" s="332"/>
    </row>
    <row r="28" spans="1:7" ht="42" customHeight="1" x14ac:dyDescent="0.25">
      <c r="A28" s="104"/>
      <c r="B28" s="19">
        <v>32</v>
      </c>
      <c r="C28" s="338" t="s">
        <v>105</v>
      </c>
      <c r="D28" s="339"/>
      <c r="E28" s="339"/>
      <c r="F28" s="340"/>
    </row>
    <row r="29" spans="1:7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7" x14ac:dyDescent="0.25">
      <c r="A30" s="105">
        <v>0</v>
      </c>
      <c r="B30" s="16">
        <v>1</v>
      </c>
      <c r="C30" s="34" t="s">
        <v>76</v>
      </c>
      <c r="D30" s="33">
        <f>COUNTIF('BASE DE DATOS 2017'!AG:AG,B30)</f>
        <v>10</v>
      </c>
      <c r="E30" s="46">
        <f>D30/SUM(D30:D33)</f>
        <v>0.66666666666666663</v>
      </c>
      <c r="F30" s="33"/>
    </row>
    <row r="31" spans="1:7" x14ac:dyDescent="0.25">
      <c r="A31" s="105">
        <v>0.33333333333333331</v>
      </c>
      <c r="B31" s="16">
        <v>2</v>
      </c>
      <c r="C31" s="34" t="s">
        <v>77</v>
      </c>
      <c r="D31" s="33">
        <f>COUNTIF('BASE DE DATOS 2017'!AG:AG,B31)</f>
        <v>3</v>
      </c>
      <c r="E31" s="46">
        <f>D31/SUM(D30:D33)</f>
        <v>0.2</v>
      </c>
      <c r="F31" s="33"/>
      <c r="G31">
        <f>((D30*A30)+(D31*A31)+(A32*D32)+(D33*A33))/SUM(D30:D33)</f>
        <v>0.17777777777777776</v>
      </c>
    </row>
    <row r="32" spans="1:7" x14ac:dyDescent="0.25">
      <c r="A32" s="106">
        <v>0.66666666666666663</v>
      </c>
      <c r="B32" s="16">
        <v>3</v>
      </c>
      <c r="C32" s="34" t="s">
        <v>78</v>
      </c>
      <c r="D32" s="33">
        <f>COUNTIF('BASE DE DATOS 2017'!AG:AG,B32)</f>
        <v>1</v>
      </c>
      <c r="E32" s="46">
        <f>D32/SUM(D30:D33)</f>
        <v>6.6666666666666666E-2</v>
      </c>
      <c r="F32" s="33"/>
    </row>
    <row r="33" spans="1:8" x14ac:dyDescent="0.25">
      <c r="A33" s="106">
        <v>1</v>
      </c>
      <c r="B33" s="16">
        <v>4</v>
      </c>
      <c r="C33" s="34" t="s">
        <v>79</v>
      </c>
      <c r="D33" s="33">
        <f>COUNTIF('BASE DE DATOS 2017'!AG:AG,B33)</f>
        <v>1</v>
      </c>
      <c r="E33" s="46">
        <f>D33/SUM(D30:D33)</f>
        <v>6.6666666666666666E-2</v>
      </c>
      <c r="F33" s="16"/>
    </row>
    <row r="34" spans="1:8" x14ac:dyDescent="0.25">
      <c r="D34" s="14">
        <f>((D30*A30)+(D31*A31)+(D32*A32)+(D33*A33))/(SUM(D30:D33)*A33)</f>
        <v>0.17777777777777776</v>
      </c>
      <c r="E34" s="16"/>
      <c r="F34" s="16"/>
    </row>
    <row r="35" spans="1:8" ht="27.75" customHeight="1" x14ac:dyDescent="0.25">
      <c r="A35" s="104"/>
      <c r="B35" s="19">
        <v>33</v>
      </c>
      <c r="C35" s="338" t="s">
        <v>162</v>
      </c>
      <c r="D35" s="339"/>
      <c r="E35" s="339"/>
      <c r="F35" s="340"/>
      <c r="H35">
        <f>AVERAGE(G31,G38)</f>
        <v>0.55555555555555558</v>
      </c>
    </row>
    <row r="36" spans="1:8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8" x14ac:dyDescent="0.25">
      <c r="A37" s="105">
        <v>1</v>
      </c>
      <c r="B37" s="16">
        <v>1</v>
      </c>
      <c r="C37" s="34" t="s">
        <v>76</v>
      </c>
      <c r="D37" s="33">
        <f>COUNTIF('BASE DE DATOS 2017'!AH:AH,B37)</f>
        <v>13</v>
      </c>
      <c r="E37" s="46">
        <f>D37/SUM(D37:D40)</f>
        <v>0.8666666666666667</v>
      </c>
      <c r="F37" s="33"/>
    </row>
    <row r="38" spans="1:8" x14ac:dyDescent="0.25">
      <c r="A38" s="105">
        <v>0.66666666666666663</v>
      </c>
      <c r="B38" s="16">
        <v>2</v>
      </c>
      <c r="C38" s="34" t="s">
        <v>77</v>
      </c>
      <c r="D38" s="33">
        <f>COUNTIF('BASE DE DATOS 2017'!AH:AH,B38)</f>
        <v>1</v>
      </c>
      <c r="E38" s="46">
        <f>D38/SUM(D37:D40)</f>
        <v>6.6666666666666666E-2</v>
      </c>
      <c r="F38" s="33"/>
      <c r="G38">
        <f>((D37*A37)+(D38*A38)+(A39*D39)+(D40*A40))/SUM(D37:D40)</f>
        <v>0.93333333333333335</v>
      </c>
    </row>
    <row r="39" spans="1:8" x14ac:dyDescent="0.25">
      <c r="A39" s="106">
        <v>0.33333333333333331</v>
      </c>
      <c r="B39" s="16">
        <v>3</v>
      </c>
      <c r="C39" s="34" t="s">
        <v>78</v>
      </c>
      <c r="D39" s="33">
        <f>COUNTIF('BASE DE DATOS 2017'!AH:AH,B39)</f>
        <v>1</v>
      </c>
      <c r="E39" s="46">
        <f>D39/SUM(D37:D40)</f>
        <v>6.6666666666666666E-2</v>
      </c>
      <c r="F39" s="33"/>
    </row>
    <row r="40" spans="1:8" x14ac:dyDescent="0.25">
      <c r="A40" s="106">
        <v>0</v>
      </c>
      <c r="B40" s="16">
        <v>4</v>
      </c>
      <c r="C40" s="34" t="s">
        <v>79</v>
      </c>
      <c r="D40" s="33">
        <f>COUNTIF('BASE DE DATOS 2017'!AH:AH,B40)</f>
        <v>0</v>
      </c>
      <c r="E40" s="46">
        <f>D40/SUM(D37:D40)</f>
        <v>0</v>
      </c>
      <c r="F40" s="16"/>
    </row>
    <row r="41" spans="1:8" x14ac:dyDescent="0.25">
      <c r="D41" s="14">
        <f>((D37*A37)+(D38*A38)+(D39*A39)+(D40*A40))/(SUM(D37:D40)*A37)</f>
        <v>0.93333333333333335</v>
      </c>
      <c r="E41" s="16"/>
      <c r="F41" s="16"/>
    </row>
    <row r="42" spans="1:8" x14ac:dyDescent="0.25">
      <c r="E42" s="341">
        <f>AVERAGE(D34,D41)</f>
        <v>0.55555555555555558</v>
      </c>
      <c r="F42" s="342"/>
    </row>
  </sheetData>
  <mergeCells count="10">
    <mergeCell ref="C28:F28"/>
    <mergeCell ref="C35:F35"/>
    <mergeCell ref="E42:F42"/>
    <mergeCell ref="C1:F1"/>
    <mergeCell ref="C2:F2"/>
    <mergeCell ref="C9:F9"/>
    <mergeCell ref="E16:F16"/>
    <mergeCell ref="C19:F19"/>
    <mergeCell ref="C27:F27"/>
    <mergeCell ref="C18:F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Layout" topLeftCell="A52" workbookViewId="0">
      <selection activeCell="G58" sqref="G58:G65"/>
    </sheetView>
  </sheetViews>
  <sheetFormatPr baseColWidth="10" defaultRowHeight="15" x14ac:dyDescent="0.25"/>
  <cols>
    <col min="1" max="1" width="8.85546875" style="102" customWidth="1"/>
    <col min="2" max="2" width="6" customWidth="1"/>
    <col min="3" max="3" width="24.5703125" customWidth="1"/>
    <col min="8" max="8" width="9.42578125" customWidth="1"/>
  </cols>
  <sheetData>
    <row r="2" spans="1:6" x14ac:dyDescent="0.25">
      <c r="B2" s="10"/>
      <c r="C2" s="331" t="s">
        <v>41</v>
      </c>
      <c r="D2" s="331"/>
      <c r="E2" s="331"/>
      <c r="F2" s="332"/>
    </row>
    <row r="3" spans="1:6" ht="28.5" customHeight="1" x14ac:dyDescent="0.25">
      <c r="A3" s="104"/>
      <c r="B3" s="19">
        <v>34</v>
      </c>
      <c r="C3" s="349" t="s">
        <v>107</v>
      </c>
      <c r="D3" s="350"/>
      <c r="E3" s="350"/>
      <c r="F3" s="351"/>
    </row>
    <row r="4" spans="1:6" x14ac:dyDescent="0.25">
      <c r="A4" s="103" t="s">
        <v>54</v>
      </c>
      <c r="B4" s="16"/>
      <c r="C4" s="35"/>
      <c r="D4" s="32" t="s">
        <v>55</v>
      </c>
      <c r="E4" s="45" t="s">
        <v>67</v>
      </c>
      <c r="F4" s="35"/>
    </row>
    <row r="5" spans="1:6" x14ac:dyDescent="0.25">
      <c r="A5" s="105">
        <v>1</v>
      </c>
      <c r="B5" s="16">
        <v>1</v>
      </c>
      <c r="C5" s="34" t="s">
        <v>76</v>
      </c>
      <c r="D5" s="33">
        <f>COUNTIF('BASE DE DATOS 2017'!AI:AI,B5)</f>
        <v>13</v>
      </c>
      <c r="E5" s="46">
        <f>D5/SUM(D5:D8)</f>
        <v>0.8666666666666667</v>
      </c>
      <c r="F5" s="33"/>
    </row>
    <row r="6" spans="1:6" x14ac:dyDescent="0.25">
      <c r="A6" s="105">
        <v>0.66666666666666663</v>
      </c>
      <c r="B6" s="16">
        <v>2</v>
      </c>
      <c r="C6" s="34" t="s">
        <v>77</v>
      </c>
      <c r="D6" s="33">
        <f>COUNTIF('BASE DE DATOS 2017'!AI:AI,B6)</f>
        <v>1</v>
      </c>
      <c r="E6" s="46">
        <f>D6/SUM(D5:D8)</f>
        <v>6.6666666666666666E-2</v>
      </c>
      <c r="F6" s="33"/>
    </row>
    <row r="7" spans="1:6" x14ac:dyDescent="0.25">
      <c r="A7" s="106">
        <v>0.33333333333333331</v>
      </c>
      <c r="B7" s="16">
        <v>3</v>
      </c>
      <c r="C7" s="34" t="s">
        <v>78</v>
      </c>
      <c r="D7" s="33">
        <f>COUNTIF('BASE DE DATOS 2017'!AI:AI,B7)</f>
        <v>1</v>
      </c>
      <c r="E7" s="46">
        <f>D7/SUM(D5:D8)</f>
        <v>6.6666666666666666E-2</v>
      </c>
      <c r="F7" s="33"/>
    </row>
    <row r="8" spans="1:6" x14ac:dyDescent="0.25">
      <c r="A8" s="106">
        <v>0</v>
      </c>
      <c r="B8" s="16">
        <v>4</v>
      </c>
      <c r="C8" s="34" t="s">
        <v>79</v>
      </c>
      <c r="D8" s="33">
        <f>COUNTIF('BASE DE DATOS 2017'!AI:AI,B8)</f>
        <v>0</v>
      </c>
      <c r="E8" s="46">
        <f>D8/SUM(D5:D8)</f>
        <v>0</v>
      </c>
      <c r="F8" s="16"/>
    </row>
    <row r="9" spans="1:6" x14ac:dyDescent="0.25">
      <c r="D9" s="14">
        <f>((D5*A5)+(D6*A6)+(D7*A7)+(D8*A8))/(SUM(D5:D8)*A5)</f>
        <v>0.93333333333333335</v>
      </c>
      <c r="E9" s="16"/>
      <c r="F9" s="16"/>
    </row>
    <row r="10" spans="1:6" ht="30" customHeight="1" x14ac:dyDescent="0.25">
      <c r="A10" s="104"/>
      <c r="B10" s="19">
        <v>35</v>
      </c>
      <c r="C10" s="357" t="s">
        <v>108</v>
      </c>
      <c r="D10" s="350"/>
      <c r="E10" s="350"/>
      <c r="F10" s="351"/>
    </row>
    <row r="11" spans="1:6" x14ac:dyDescent="0.25">
      <c r="A11" s="103" t="s">
        <v>54</v>
      </c>
      <c r="B11" s="16"/>
      <c r="C11" s="35"/>
      <c r="D11" s="32" t="s">
        <v>55</v>
      </c>
      <c r="E11" s="45" t="s">
        <v>67</v>
      </c>
      <c r="F11" s="35"/>
    </row>
    <row r="12" spans="1:6" x14ac:dyDescent="0.25">
      <c r="A12" s="105">
        <v>1</v>
      </c>
      <c r="B12" s="16">
        <v>1</v>
      </c>
      <c r="C12" s="34" t="s">
        <v>76</v>
      </c>
      <c r="D12" s="33">
        <f>COUNTIF('BASE DE DATOS 2017'!AJ:AJ,B12)</f>
        <v>13</v>
      </c>
      <c r="E12" s="46">
        <f>D12/SUM(D12:D15)</f>
        <v>0.8666666666666667</v>
      </c>
      <c r="F12" s="33"/>
    </row>
    <row r="13" spans="1:6" x14ac:dyDescent="0.25">
      <c r="A13" s="105">
        <v>0.66666666666666663</v>
      </c>
      <c r="B13" s="16">
        <v>2</v>
      </c>
      <c r="C13" s="34" t="s">
        <v>77</v>
      </c>
      <c r="D13" s="33">
        <f>COUNTIF('BASE DE DATOS 2017'!AJ:AJ,B13)</f>
        <v>1</v>
      </c>
      <c r="E13" s="46">
        <f>D13/SUM(D12:D15)</f>
        <v>6.6666666666666666E-2</v>
      </c>
      <c r="F13" s="33"/>
    </row>
    <row r="14" spans="1:6" x14ac:dyDescent="0.25">
      <c r="A14" s="106">
        <v>0.33333333333333331</v>
      </c>
      <c r="B14" s="16">
        <v>3</v>
      </c>
      <c r="C14" s="34" t="s">
        <v>78</v>
      </c>
      <c r="D14" s="33">
        <f>COUNTIF('BASE DE DATOS 2017'!AJ:AJ,B14)</f>
        <v>1</v>
      </c>
      <c r="E14" s="46">
        <f>D14/SUM(D12:D15)</f>
        <v>6.6666666666666666E-2</v>
      </c>
      <c r="F14" s="33"/>
    </row>
    <row r="15" spans="1:6" x14ac:dyDescent="0.25">
      <c r="A15" s="106">
        <v>0</v>
      </c>
      <c r="B15" s="16">
        <v>4</v>
      </c>
      <c r="C15" s="34" t="s">
        <v>79</v>
      </c>
      <c r="D15" s="33">
        <f>COUNTIF('BASE DE DATOS 2017'!AJ:AJ,B15)</f>
        <v>0</v>
      </c>
      <c r="E15" s="46">
        <f>D15/SUM(D12:D15)</f>
        <v>0</v>
      </c>
      <c r="F15" s="16"/>
    </row>
    <row r="16" spans="1:6" x14ac:dyDescent="0.25">
      <c r="D16" s="14">
        <f>((D12*A12)+(D13*A13)+(D14*A14)+(D15*A15))/(SUM(D12:D15)*A12)</f>
        <v>0.93333333333333335</v>
      </c>
      <c r="E16" s="16"/>
      <c r="F16" s="16"/>
    </row>
    <row r="17" spans="1:6" ht="28.5" customHeight="1" x14ac:dyDescent="0.25">
      <c r="A17" s="104"/>
      <c r="B17" s="19">
        <v>36</v>
      </c>
      <c r="C17" s="349" t="s">
        <v>109</v>
      </c>
      <c r="D17" s="350"/>
      <c r="E17" s="350"/>
      <c r="F17" s="351"/>
    </row>
    <row r="18" spans="1:6" x14ac:dyDescent="0.25">
      <c r="A18" s="103" t="s">
        <v>54</v>
      </c>
      <c r="B18" s="16"/>
      <c r="C18" s="35"/>
      <c r="D18" s="32" t="s">
        <v>55</v>
      </c>
      <c r="E18" s="45" t="s">
        <v>67</v>
      </c>
      <c r="F18" s="35"/>
    </row>
    <row r="19" spans="1:6" x14ac:dyDescent="0.25">
      <c r="A19" s="105">
        <v>1</v>
      </c>
      <c r="B19" s="16">
        <v>1</v>
      </c>
      <c r="C19" s="34" t="s">
        <v>76</v>
      </c>
      <c r="D19" s="33">
        <f>COUNTIF('BASE DE DATOS 2017'!AK:AK,B19)</f>
        <v>12</v>
      </c>
      <c r="E19" s="46">
        <f>D19/SUM(D19:D22)</f>
        <v>0.8</v>
      </c>
      <c r="F19" s="33"/>
    </row>
    <row r="20" spans="1:6" x14ac:dyDescent="0.25">
      <c r="A20" s="105">
        <v>0.66666666666666663</v>
      </c>
      <c r="B20" s="16">
        <v>2</v>
      </c>
      <c r="C20" s="34" t="s">
        <v>77</v>
      </c>
      <c r="D20" s="33">
        <f>COUNTIF('BASE DE DATOS 2017'!AK:AK,B20)</f>
        <v>3</v>
      </c>
      <c r="E20" s="46">
        <f>D20/SUM(D19:D22)</f>
        <v>0.2</v>
      </c>
      <c r="F20" s="33"/>
    </row>
    <row r="21" spans="1:6" x14ac:dyDescent="0.25">
      <c r="A21" s="106">
        <v>0.33333333333333331</v>
      </c>
      <c r="B21" s="16">
        <v>3</v>
      </c>
      <c r="C21" s="34" t="s">
        <v>78</v>
      </c>
      <c r="D21" s="33">
        <f>COUNTIF('BASE DE DATOS 2017'!AK:AK,B21)</f>
        <v>0</v>
      </c>
      <c r="E21" s="46">
        <f>D21/SUM(D19:D22)</f>
        <v>0</v>
      </c>
      <c r="F21" s="33"/>
    </row>
    <row r="22" spans="1:6" x14ac:dyDescent="0.25">
      <c r="A22" s="106">
        <v>0</v>
      </c>
      <c r="B22" s="16">
        <v>4</v>
      </c>
      <c r="C22" s="34" t="s">
        <v>79</v>
      </c>
      <c r="D22" s="33">
        <f>COUNTIF('BASE DE DATOS 2017'!AK:AK,B22)</f>
        <v>0</v>
      </c>
      <c r="E22" s="46">
        <f>D22/SUM(D19:D22)</f>
        <v>0</v>
      </c>
      <c r="F22" s="16"/>
    </row>
    <row r="23" spans="1:6" x14ac:dyDescent="0.25">
      <c r="D23" s="14">
        <f>((D19*A19)+(D20*A20)+(D21*A21)+(D22*A22))/(SUM(D19:D22)*A19)</f>
        <v>0.93333333333333335</v>
      </c>
      <c r="E23" s="16"/>
      <c r="F23" s="16"/>
    </row>
    <row r="24" spans="1:6" x14ac:dyDescent="0.25">
      <c r="E24" s="57">
        <f>AVERAGE(D23,D16,D9)</f>
        <v>0.93333333333333324</v>
      </c>
      <c r="F24" s="58"/>
    </row>
    <row r="27" spans="1:6" x14ac:dyDescent="0.25">
      <c r="B27" s="10"/>
      <c r="C27" s="331" t="s">
        <v>110</v>
      </c>
      <c r="D27" s="331"/>
      <c r="E27" s="331"/>
      <c r="F27" s="332"/>
    </row>
    <row r="28" spans="1:6" ht="25.5" customHeight="1" x14ac:dyDescent="0.25">
      <c r="A28" s="104"/>
      <c r="B28" s="19">
        <v>37</v>
      </c>
      <c r="C28" s="346" t="s">
        <v>111</v>
      </c>
      <c r="D28" s="347"/>
      <c r="E28" s="347"/>
      <c r="F28" s="348"/>
    </row>
    <row r="29" spans="1:6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6" x14ac:dyDescent="0.25">
      <c r="A30" s="105">
        <v>1</v>
      </c>
      <c r="B30" s="16">
        <v>1</v>
      </c>
      <c r="C30" s="34" t="s">
        <v>76</v>
      </c>
      <c r="D30" s="33">
        <f>COUNTIF('BASE DE DATOS 2017'!AL:AL,B30)</f>
        <v>12</v>
      </c>
      <c r="E30" s="46">
        <f>D30/SUM(D30:D33)</f>
        <v>0.8</v>
      </c>
      <c r="F30" s="33"/>
    </row>
    <row r="31" spans="1:6" x14ac:dyDescent="0.25">
      <c r="A31" s="105">
        <v>0.66666666666666663</v>
      </c>
      <c r="B31" s="16">
        <v>2</v>
      </c>
      <c r="C31" s="34" t="s">
        <v>77</v>
      </c>
      <c r="D31" s="33">
        <f>COUNTIF('BASE DE DATOS 2017'!AL:AL,B31)</f>
        <v>2</v>
      </c>
      <c r="E31" s="46">
        <f>D31/SUM(D30:D33)</f>
        <v>0.13333333333333333</v>
      </c>
      <c r="F31" s="33"/>
    </row>
    <row r="32" spans="1:6" x14ac:dyDescent="0.25">
      <c r="A32" s="106">
        <v>0.33333333333333331</v>
      </c>
      <c r="B32" s="16">
        <v>3</v>
      </c>
      <c r="C32" s="34" t="s">
        <v>78</v>
      </c>
      <c r="D32" s="33">
        <f>COUNTIF('BASE DE DATOS 2017'!AL:AL,B32)</f>
        <v>1</v>
      </c>
      <c r="E32" s="46">
        <f>D32/SUM(D30:D33)</f>
        <v>6.6666666666666666E-2</v>
      </c>
      <c r="F32" s="33"/>
    </row>
    <row r="33" spans="1:6" x14ac:dyDescent="0.25">
      <c r="A33" s="106">
        <v>0</v>
      </c>
      <c r="B33" s="16">
        <v>4</v>
      </c>
      <c r="C33" s="34" t="s">
        <v>79</v>
      </c>
      <c r="D33" s="33">
        <f>COUNTIF('BASE DE DATOS 2017'!AL:AL,B33)</f>
        <v>0</v>
      </c>
      <c r="E33" s="46">
        <f>D33/SUM(D30:D33)</f>
        <v>0</v>
      </c>
      <c r="F33" s="16"/>
    </row>
    <row r="34" spans="1:6" x14ac:dyDescent="0.25">
      <c r="D34" s="14">
        <f>((D30*A30)+(D31*A31)+(D32*A32)+(D33*A33))/(SUM(D30:D33)*A30)</f>
        <v>0.9111111111111112</v>
      </c>
      <c r="E34" s="16"/>
      <c r="F34" s="16"/>
    </row>
    <row r="35" spans="1:6" ht="24" customHeight="1" x14ac:dyDescent="0.25">
      <c r="A35" s="104"/>
      <c r="B35" s="19">
        <v>38</v>
      </c>
      <c r="C35" s="346" t="s">
        <v>112</v>
      </c>
      <c r="D35" s="347"/>
      <c r="E35" s="347"/>
      <c r="F35" s="348"/>
    </row>
    <row r="36" spans="1:6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6" x14ac:dyDescent="0.25">
      <c r="A37" s="105">
        <v>0</v>
      </c>
      <c r="B37" s="16">
        <v>1</v>
      </c>
      <c r="C37" s="34" t="s">
        <v>113</v>
      </c>
      <c r="D37" s="33">
        <f>COUNTIF('BASE DE DATOS 2017'!AM:AM,B37)</f>
        <v>6</v>
      </c>
      <c r="E37" s="46">
        <f>D37/SUM(D37:D39)</f>
        <v>0.4</v>
      </c>
      <c r="F37" s="33"/>
    </row>
    <row r="38" spans="1:6" x14ac:dyDescent="0.25">
      <c r="A38" s="105">
        <v>1</v>
      </c>
      <c r="B38" s="16">
        <v>2</v>
      </c>
      <c r="C38" s="34" t="s">
        <v>114</v>
      </c>
      <c r="D38" s="33">
        <f>COUNTIF('BASE DE DATOS 2017'!AM:AM,B38)</f>
        <v>9</v>
      </c>
      <c r="E38" s="46">
        <f>D38/SUM(D37:D39)</f>
        <v>0.6</v>
      </c>
      <c r="F38" s="33"/>
    </row>
    <row r="39" spans="1:6" ht="24.75" x14ac:dyDescent="0.25">
      <c r="A39" s="106">
        <v>0</v>
      </c>
      <c r="B39" s="16">
        <v>3</v>
      </c>
      <c r="C39" s="49" t="s">
        <v>115</v>
      </c>
      <c r="D39" s="33">
        <f>COUNTIF('BASE DE DATOS 2017'!AM:AM,B39)</f>
        <v>0</v>
      </c>
      <c r="E39" s="46">
        <f>D39/SUM(D37:D39)</f>
        <v>0</v>
      </c>
      <c r="F39" s="33"/>
    </row>
    <row r="40" spans="1:6" x14ac:dyDescent="0.25">
      <c r="D40" s="14">
        <f>((D37*A37)+(D38*A38)+(D39*A39))/(SUM(D37:D39)*A38)</f>
        <v>0.6</v>
      </c>
      <c r="E40" s="16"/>
      <c r="F40" s="16"/>
    </row>
    <row r="41" spans="1:6" x14ac:dyDescent="0.25">
      <c r="E41" s="59">
        <f>AVERAGE(D34,D40)</f>
        <v>0.75555555555555554</v>
      </c>
      <c r="F41" s="60"/>
    </row>
    <row r="44" spans="1:6" x14ac:dyDescent="0.25">
      <c r="B44" s="48"/>
      <c r="C44" s="331" t="s">
        <v>43</v>
      </c>
      <c r="D44" s="331"/>
      <c r="E44" s="331"/>
      <c r="F44" s="332"/>
    </row>
    <row r="45" spans="1:6" ht="26.25" customHeight="1" x14ac:dyDescent="0.25">
      <c r="A45" s="104"/>
      <c r="B45" s="19">
        <v>39</v>
      </c>
      <c r="C45" s="346" t="s">
        <v>116</v>
      </c>
      <c r="D45" s="347"/>
      <c r="E45" s="347"/>
      <c r="F45" s="348"/>
    </row>
    <row r="46" spans="1:6" x14ac:dyDescent="0.25">
      <c r="A46" s="103" t="s">
        <v>54</v>
      </c>
      <c r="B46" s="16"/>
      <c r="C46" s="35"/>
      <c r="D46" s="32" t="s">
        <v>55</v>
      </c>
      <c r="E46" s="45" t="s">
        <v>67</v>
      </c>
      <c r="F46" s="35"/>
    </row>
    <row r="47" spans="1:6" x14ac:dyDescent="0.25">
      <c r="A47" s="105">
        <v>1</v>
      </c>
      <c r="B47" s="16">
        <v>1</v>
      </c>
      <c r="C47" s="34" t="s">
        <v>76</v>
      </c>
      <c r="D47" s="33">
        <f>COUNTIF('BASE DE DATOS 2017'!AN$3:AN$17,B47)</f>
        <v>13</v>
      </c>
      <c r="E47" s="46">
        <f>D47/SUM(D47:D50)</f>
        <v>0.8666666666666667</v>
      </c>
      <c r="F47" s="33"/>
    </row>
    <row r="48" spans="1:6" x14ac:dyDescent="0.25">
      <c r="A48" s="105">
        <v>0.66666666666666663</v>
      </c>
      <c r="B48" s="16">
        <v>2</v>
      </c>
      <c r="C48" s="34" t="s">
        <v>77</v>
      </c>
      <c r="D48" s="33">
        <f>COUNTIF('BASE DE DATOS 2017'!AN$3:AN$17,B48)</f>
        <v>1</v>
      </c>
      <c r="E48" s="46">
        <f>D48/SUM(D47:D50)</f>
        <v>6.6666666666666666E-2</v>
      </c>
      <c r="F48" s="33"/>
    </row>
    <row r="49" spans="1:6" x14ac:dyDescent="0.25">
      <c r="A49" s="106">
        <v>0.33333333333333331</v>
      </c>
      <c r="B49" s="16">
        <v>3</v>
      </c>
      <c r="C49" s="34" t="s">
        <v>78</v>
      </c>
      <c r="D49" s="33">
        <f>COUNTIF('BASE DE DATOS 2017'!AN$3:AN$17,B49)</f>
        <v>0</v>
      </c>
      <c r="E49" s="46">
        <f>D49/SUM(D47:D50)</f>
        <v>0</v>
      </c>
      <c r="F49" s="33"/>
    </row>
    <row r="50" spans="1:6" x14ac:dyDescent="0.25">
      <c r="A50" s="106">
        <v>0</v>
      </c>
      <c r="B50" s="16">
        <v>4</v>
      </c>
      <c r="C50" s="34" t="s">
        <v>79</v>
      </c>
      <c r="D50" s="33">
        <f>COUNTIF('BASE DE DATOS 2017'!AN$3:AN$17,B50)</f>
        <v>1</v>
      </c>
      <c r="E50" s="46">
        <f>D50/SUM(D47:D50)</f>
        <v>6.6666666666666666E-2</v>
      </c>
      <c r="F50" s="16"/>
    </row>
    <row r="51" spans="1:6" x14ac:dyDescent="0.25">
      <c r="D51" s="14">
        <f>((D47*A47)+(D48*A48)+(D49*A49)+(D50*A50))/(SUM(D47:D50)*A47)</f>
        <v>0.91111111111111109</v>
      </c>
      <c r="E51" s="16"/>
      <c r="F51" s="16"/>
    </row>
    <row r="54" spans="1:6" x14ac:dyDescent="0.25">
      <c r="B54" s="48"/>
      <c r="C54" s="331" t="s">
        <v>44</v>
      </c>
      <c r="D54" s="331"/>
      <c r="E54" s="331"/>
      <c r="F54" s="332"/>
    </row>
    <row r="55" spans="1:6" ht="27" customHeight="1" x14ac:dyDescent="0.25">
      <c r="A55" s="104"/>
      <c r="B55" s="19">
        <v>40</v>
      </c>
      <c r="C55" s="338" t="s">
        <v>117</v>
      </c>
      <c r="D55" s="339"/>
      <c r="E55" s="339"/>
      <c r="F55" s="340"/>
    </row>
    <row r="56" spans="1:6" x14ac:dyDescent="0.25">
      <c r="A56" s="103" t="s">
        <v>54</v>
      </c>
      <c r="B56" s="16"/>
      <c r="C56" s="35"/>
      <c r="D56" s="32" t="s">
        <v>55</v>
      </c>
      <c r="E56" s="45" t="s">
        <v>67</v>
      </c>
      <c r="F56" s="35"/>
    </row>
    <row r="57" spans="1:6" x14ac:dyDescent="0.25">
      <c r="A57" s="105">
        <v>1</v>
      </c>
      <c r="B57" s="16">
        <v>1</v>
      </c>
      <c r="C57" s="34" t="s">
        <v>76</v>
      </c>
      <c r="D57" s="33">
        <f>COUNTIF('BASE DE DATOS 2017'!AO$3:AO$17,B57)</f>
        <v>13</v>
      </c>
      <c r="E57" s="46">
        <f>D57/SUM(D57:D60)</f>
        <v>0.8666666666666667</v>
      </c>
      <c r="F57" s="33"/>
    </row>
    <row r="58" spans="1:6" x14ac:dyDescent="0.25">
      <c r="A58" s="105">
        <v>0.66666666666666663</v>
      </c>
      <c r="B58" s="16">
        <v>2</v>
      </c>
      <c r="C58" s="34" t="s">
        <v>77</v>
      </c>
      <c r="D58" s="33">
        <f>COUNTIF('BASE DE DATOS 2017'!AO$3:AO$17,B58)</f>
        <v>1</v>
      </c>
      <c r="E58" s="46">
        <f>D58/SUM(D57:D60)</f>
        <v>6.6666666666666666E-2</v>
      </c>
      <c r="F58" s="33"/>
    </row>
    <row r="59" spans="1:6" x14ac:dyDescent="0.25">
      <c r="A59" s="106">
        <v>0.33333333333333331</v>
      </c>
      <c r="B59" s="16">
        <v>3</v>
      </c>
      <c r="C59" s="34" t="s">
        <v>78</v>
      </c>
      <c r="D59" s="33">
        <f>COUNTIF('BASE DE DATOS 2017'!AO$3:AO$17,B59)</f>
        <v>1</v>
      </c>
      <c r="E59" s="46">
        <f>D59/SUM(D57:D60)</f>
        <v>6.6666666666666666E-2</v>
      </c>
      <c r="F59" s="33"/>
    </row>
    <row r="60" spans="1:6" x14ac:dyDescent="0.25">
      <c r="A60" s="106">
        <v>0</v>
      </c>
      <c r="B60" s="16">
        <v>4</v>
      </c>
      <c r="C60" s="34" t="s">
        <v>79</v>
      </c>
      <c r="D60" s="33">
        <f>COUNTIF('BASE DE DATOS 2017'!AO$3:AO$17,B60)</f>
        <v>0</v>
      </c>
      <c r="E60" s="46">
        <f>D60/SUM(D57:D60)</f>
        <v>0</v>
      </c>
      <c r="F60" s="16"/>
    </row>
    <row r="61" spans="1:6" x14ac:dyDescent="0.25">
      <c r="D61" s="14">
        <f>((D57*A57)+(D58*A58)+(D59*A59)+(D60*A60))/(SUM(D57:D60)*A57)</f>
        <v>0.93333333333333335</v>
      </c>
      <c r="E61" s="16"/>
      <c r="F61" s="16"/>
    </row>
    <row r="62" spans="1:6" x14ac:dyDescent="0.25">
      <c r="A62" s="104"/>
      <c r="B62" s="19">
        <v>41</v>
      </c>
      <c r="C62" s="338" t="s">
        <v>118</v>
      </c>
      <c r="D62" s="339"/>
      <c r="E62" s="339"/>
      <c r="F62" s="340"/>
    </row>
    <row r="63" spans="1:6" x14ac:dyDescent="0.25">
      <c r="A63" s="103" t="s">
        <v>54</v>
      </c>
      <c r="B63" s="16"/>
      <c r="C63" s="35"/>
      <c r="D63" s="32" t="s">
        <v>55</v>
      </c>
      <c r="E63" s="45" t="s">
        <v>67</v>
      </c>
      <c r="F63" s="35"/>
    </row>
    <row r="64" spans="1:6" x14ac:dyDescent="0.25">
      <c r="A64" s="105">
        <v>1</v>
      </c>
      <c r="B64" s="16">
        <v>1</v>
      </c>
      <c r="C64" s="34" t="s">
        <v>76</v>
      </c>
      <c r="D64" s="33">
        <f>COUNTIF('BASE DE DATOS 2017'!AP$3:AP$17,B64)</f>
        <v>12</v>
      </c>
      <c r="E64" s="46">
        <f>D64/SUM(D64:D67)</f>
        <v>0.8</v>
      </c>
      <c r="F64" s="33"/>
    </row>
    <row r="65" spans="1:6" x14ac:dyDescent="0.25">
      <c r="A65" s="105">
        <v>0.66666666666666663</v>
      </c>
      <c r="B65" s="16">
        <v>2</v>
      </c>
      <c r="C65" s="34" t="s">
        <v>77</v>
      </c>
      <c r="D65" s="33">
        <f>COUNTIF('BASE DE DATOS 2017'!AP$3:AP$17,B65)</f>
        <v>2</v>
      </c>
      <c r="E65" s="46">
        <f>D65/SUM(D64:D67)</f>
        <v>0.13333333333333333</v>
      </c>
      <c r="F65" s="33"/>
    </row>
    <row r="66" spans="1:6" x14ac:dyDescent="0.25">
      <c r="A66" s="106">
        <v>0.33333333333333331</v>
      </c>
      <c r="B66" s="16">
        <v>3</v>
      </c>
      <c r="C66" s="34" t="s">
        <v>78</v>
      </c>
      <c r="D66" s="33">
        <f>COUNTIF('BASE DE DATOS 2017'!AP$3:AP$17,B66)</f>
        <v>1</v>
      </c>
      <c r="E66" s="46">
        <f>D66/SUM(D64:D67)</f>
        <v>6.6666666666666666E-2</v>
      </c>
      <c r="F66" s="33"/>
    </row>
    <row r="67" spans="1:6" x14ac:dyDescent="0.25">
      <c r="A67" s="106">
        <v>0</v>
      </c>
      <c r="B67" s="16">
        <v>4</v>
      </c>
      <c r="C67" s="34" t="s">
        <v>79</v>
      </c>
      <c r="D67" s="33">
        <f>COUNTIF('BASE DE DATOS 2017'!AP$3:AP$17,B67)</f>
        <v>0</v>
      </c>
      <c r="E67" s="46">
        <f>D67/SUM(D64:D67)</f>
        <v>0</v>
      </c>
      <c r="F67" s="16"/>
    </row>
    <row r="68" spans="1:6" x14ac:dyDescent="0.25">
      <c r="D68" s="14">
        <f>((D64*A64)+(D65*A65)+(D66*A66)+(D67*A67))/(SUM(D64:D67)*A64)</f>
        <v>0.9111111111111112</v>
      </c>
      <c r="E68" s="16"/>
      <c r="F68" s="16"/>
    </row>
    <row r="69" spans="1:6" x14ac:dyDescent="0.25">
      <c r="B69" s="10"/>
      <c r="C69" s="331" t="s">
        <v>144</v>
      </c>
      <c r="D69" s="331"/>
      <c r="E69" s="331"/>
      <c r="F69" s="332"/>
    </row>
    <row r="70" spans="1:6" ht="27.75" customHeight="1" x14ac:dyDescent="0.25">
      <c r="B70" s="39">
        <v>51</v>
      </c>
      <c r="C70" s="355" t="s">
        <v>145</v>
      </c>
      <c r="D70" s="355"/>
      <c r="E70" s="355"/>
      <c r="F70" s="356"/>
    </row>
    <row r="71" spans="1:6" x14ac:dyDescent="0.25">
      <c r="D71" s="53">
        <f>PUESTO!D96</f>
        <v>0.95</v>
      </c>
    </row>
    <row r="72" spans="1:6" x14ac:dyDescent="0.25">
      <c r="E72" s="57">
        <f>AVERAGE(D61,D68,D71)</f>
        <v>0.93148148148148147</v>
      </c>
      <c r="F72" s="58"/>
    </row>
  </sheetData>
  <mergeCells count="14">
    <mergeCell ref="C2:F2"/>
    <mergeCell ref="C69:F69"/>
    <mergeCell ref="C70:F70"/>
    <mergeCell ref="C3:F3"/>
    <mergeCell ref="C10:F10"/>
    <mergeCell ref="C17:F17"/>
    <mergeCell ref="C62:F62"/>
    <mergeCell ref="C28:F28"/>
    <mergeCell ref="C35:F35"/>
    <mergeCell ref="C45:F45"/>
    <mergeCell ref="C44:F44"/>
    <mergeCell ref="C54:F54"/>
    <mergeCell ref="C55:F55"/>
    <mergeCell ref="C27:F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workbookViewId="0">
      <selection activeCell="D96" sqref="D96"/>
    </sheetView>
  </sheetViews>
  <sheetFormatPr baseColWidth="10" defaultRowHeight="15" x14ac:dyDescent="0.25"/>
  <cols>
    <col min="1" max="1" width="8.7109375" style="102" customWidth="1"/>
    <col min="2" max="2" width="7.140625" customWidth="1"/>
    <col min="3" max="3" width="26.42578125" customWidth="1"/>
    <col min="8" max="8" width="10.140625" customWidth="1"/>
  </cols>
  <sheetData>
    <row r="1" spans="1:6" x14ac:dyDescent="0.25">
      <c r="B1" s="10"/>
      <c r="C1" s="331" t="s">
        <v>46</v>
      </c>
      <c r="D1" s="331"/>
      <c r="E1" s="331"/>
      <c r="F1" s="332"/>
    </row>
    <row r="2" spans="1:6" ht="24.75" customHeight="1" x14ac:dyDescent="0.25">
      <c r="A2" s="104"/>
      <c r="B2" s="19">
        <v>42</v>
      </c>
      <c r="C2" s="338" t="s">
        <v>119</v>
      </c>
      <c r="D2" s="339"/>
      <c r="E2" s="339"/>
      <c r="F2" s="340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2017'!AQ:AQ,B4)</f>
        <v>13</v>
      </c>
      <c r="E4" s="46">
        <f>D4/SUM(D4:D7)</f>
        <v>0.8666666666666667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2017'!AQ:AQ,B5)</f>
        <v>2</v>
      </c>
      <c r="E5" s="46">
        <f>D5/SUM(D4:D7)</f>
        <v>0.13333333333333333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2017'!AQ:AQ,B6)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2017'!AQ:AQ,B7)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0.9555555555555556</v>
      </c>
      <c r="E8" s="16"/>
      <c r="F8" s="16"/>
    </row>
    <row r="9" spans="1:6" ht="38.25" customHeight="1" x14ac:dyDescent="0.25">
      <c r="A9" s="104"/>
      <c r="B9" s="19">
        <v>43</v>
      </c>
      <c r="C9" s="338" t="s">
        <v>124</v>
      </c>
      <c r="D9" s="339"/>
      <c r="E9" s="339"/>
      <c r="F9" s="340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0</v>
      </c>
      <c r="B11" s="16">
        <v>1</v>
      </c>
      <c r="C11" s="51" t="s">
        <v>120</v>
      </c>
      <c r="D11" s="33">
        <f>COUNTIF('BASE DE DATOS 2017'!AR:AR,B11)</f>
        <v>7</v>
      </c>
      <c r="E11" s="46">
        <f>D11/SUM(D11:D15)</f>
        <v>0.46666666666666667</v>
      </c>
      <c r="F11" s="33"/>
    </row>
    <row r="12" spans="1:6" x14ac:dyDescent="0.25">
      <c r="A12" s="105">
        <v>0</v>
      </c>
      <c r="B12" s="16">
        <v>2</v>
      </c>
      <c r="C12" s="34" t="s">
        <v>121</v>
      </c>
      <c r="D12" s="33">
        <f>COUNTIF('BASE DE DATOS 2017'!AR:AR,B12)</f>
        <v>2</v>
      </c>
      <c r="E12" s="46">
        <f>D12/SUM(D11:D15)</f>
        <v>0.13333333333333333</v>
      </c>
      <c r="F12" s="33"/>
    </row>
    <row r="13" spans="1:6" x14ac:dyDescent="0.25">
      <c r="A13" s="105">
        <v>0</v>
      </c>
      <c r="B13" s="16">
        <v>3</v>
      </c>
      <c r="C13" s="50" t="s">
        <v>122</v>
      </c>
      <c r="D13" s="33">
        <f>COUNTIF('BASE DE DATOS 2017'!AR:AR,B13)</f>
        <v>0</v>
      </c>
      <c r="E13" s="46">
        <f>D13/SUM(D11:D15)</f>
        <v>0</v>
      </c>
      <c r="F13" s="33"/>
    </row>
    <row r="14" spans="1:6" x14ac:dyDescent="0.25">
      <c r="A14" s="106">
        <v>0</v>
      </c>
      <c r="B14" s="16">
        <v>4</v>
      </c>
      <c r="C14" s="51" t="s">
        <v>172</v>
      </c>
      <c r="D14" s="33">
        <f>COUNTIF('BASE DE DATOS 2017'!AR:AR,B14)</f>
        <v>2</v>
      </c>
      <c r="E14" s="46">
        <f>D14/SUM(D11:D15)</f>
        <v>0.13333333333333333</v>
      </c>
      <c r="F14" s="33"/>
    </row>
    <row r="15" spans="1:6" x14ac:dyDescent="0.25">
      <c r="A15" s="106">
        <v>1</v>
      </c>
      <c r="B15" s="16">
        <v>5</v>
      </c>
      <c r="C15" s="34" t="s">
        <v>123</v>
      </c>
      <c r="D15" s="33">
        <f>COUNTIF('BASE DE DATOS 2017'!AR:AR,B15)</f>
        <v>4</v>
      </c>
      <c r="E15" s="46">
        <f>D15/SUM(D11:D15)</f>
        <v>0.26666666666666666</v>
      </c>
      <c r="F15" s="16"/>
    </row>
    <row r="16" spans="1:6" x14ac:dyDescent="0.25">
      <c r="D16" s="14">
        <f>((D11*A11)+(D12*A12)+(D13*A13)+(D14*A14)+(D15*A15))/(SUM(D11:D15)*A15)</f>
        <v>0.26666666666666666</v>
      </c>
      <c r="E16" s="16"/>
      <c r="F16" s="16"/>
    </row>
    <row r="17" spans="1:6" x14ac:dyDescent="0.25">
      <c r="E17" s="341">
        <f>AVERAGE(D8,D16)</f>
        <v>0.61111111111111116</v>
      </c>
      <c r="F17" s="342"/>
    </row>
    <row r="20" spans="1:6" x14ac:dyDescent="0.25">
      <c r="B20" s="10"/>
      <c r="C20" s="331" t="s">
        <v>128</v>
      </c>
      <c r="D20" s="331"/>
      <c r="E20" s="331"/>
      <c r="F20" s="332"/>
    </row>
    <row r="21" spans="1:6" ht="27" customHeight="1" x14ac:dyDescent="0.25">
      <c r="A21" s="104"/>
      <c r="B21" s="19">
        <v>44</v>
      </c>
      <c r="C21" s="338" t="s">
        <v>129</v>
      </c>
      <c r="D21" s="339"/>
      <c r="E21" s="339"/>
      <c r="F21" s="340"/>
    </row>
    <row r="22" spans="1:6" x14ac:dyDescent="0.25">
      <c r="A22" s="103" t="s">
        <v>54</v>
      </c>
      <c r="B22" s="16"/>
      <c r="C22" s="35"/>
      <c r="D22" s="32" t="s">
        <v>55</v>
      </c>
      <c r="E22" s="45" t="s">
        <v>67</v>
      </c>
      <c r="F22" s="35"/>
    </row>
    <row r="23" spans="1:6" x14ac:dyDescent="0.25">
      <c r="A23" s="105">
        <v>1</v>
      </c>
      <c r="B23" s="16">
        <v>1</v>
      </c>
      <c r="C23" s="34" t="s">
        <v>130</v>
      </c>
      <c r="D23" s="33">
        <f>COUNTIF('BASE DE DATOS 2017'!AS:AS,B23)</f>
        <v>7</v>
      </c>
      <c r="E23" s="46">
        <f>D23/SUM(D23:D26)</f>
        <v>0.46666666666666667</v>
      </c>
      <c r="F23" s="33"/>
    </row>
    <row r="24" spans="1:6" x14ac:dyDescent="0.25">
      <c r="A24" s="105">
        <v>0.66666666666666663</v>
      </c>
      <c r="B24" s="16">
        <v>2</v>
      </c>
      <c r="C24" s="34" t="s">
        <v>131</v>
      </c>
      <c r="D24" s="33">
        <f>COUNTIF('BASE DE DATOS 2017'!AS:AS,B24)</f>
        <v>8</v>
      </c>
      <c r="E24" s="46">
        <f>D24/SUM(D23:D26)</f>
        <v>0.53333333333333333</v>
      </c>
      <c r="F24" s="33"/>
    </row>
    <row r="25" spans="1:6" x14ac:dyDescent="0.25">
      <c r="A25" s="106">
        <v>0.33333333333333331</v>
      </c>
      <c r="B25" s="16">
        <v>3</v>
      </c>
      <c r="C25" s="34" t="s">
        <v>132</v>
      </c>
      <c r="D25" s="33">
        <f>COUNTIF('BASE DE DATOS 2017'!AS:AS,B25)</f>
        <v>0</v>
      </c>
      <c r="E25" s="46">
        <f>D25/SUM(D23:D26)</f>
        <v>0</v>
      </c>
      <c r="F25" s="33"/>
    </row>
    <row r="26" spans="1:6" x14ac:dyDescent="0.25">
      <c r="A26" s="106">
        <v>0</v>
      </c>
      <c r="B26" s="16">
        <v>4</v>
      </c>
      <c r="C26" s="34" t="s">
        <v>133</v>
      </c>
      <c r="D26" s="33">
        <f>COUNTIF('BASE DE DATOS 2017'!AS:AS,B26)</f>
        <v>0</v>
      </c>
      <c r="E26" s="46">
        <f>D26/SUM(D23:D26)</f>
        <v>0</v>
      </c>
      <c r="F26" s="16"/>
    </row>
    <row r="27" spans="1:6" x14ac:dyDescent="0.25">
      <c r="D27" s="14">
        <f>((D23*A23)+(D24*A24)+(D25*A25)+(D26*A26))/(SUM(D23:D26)*A23)</f>
        <v>0.82222222222222219</v>
      </c>
      <c r="E27" s="16"/>
      <c r="F27" s="16"/>
    </row>
    <row r="30" spans="1:6" x14ac:dyDescent="0.25">
      <c r="B30" s="10"/>
      <c r="C30" s="331" t="s">
        <v>49</v>
      </c>
      <c r="D30" s="331"/>
      <c r="E30" s="331"/>
      <c r="F30" s="332"/>
    </row>
    <row r="31" spans="1:6" ht="27" customHeight="1" x14ac:dyDescent="0.25">
      <c r="A31" s="104"/>
      <c r="B31" s="19">
        <v>45</v>
      </c>
      <c r="C31" s="338" t="s">
        <v>134</v>
      </c>
      <c r="D31" s="339"/>
      <c r="E31" s="339"/>
      <c r="F31" s="340"/>
    </row>
    <row r="32" spans="1:6" x14ac:dyDescent="0.25">
      <c r="A32" s="103" t="s">
        <v>54</v>
      </c>
      <c r="B32" s="16"/>
      <c r="C32" s="35"/>
      <c r="D32" s="32" t="s">
        <v>55</v>
      </c>
      <c r="E32" s="45" t="s">
        <v>67</v>
      </c>
      <c r="F32" s="35"/>
    </row>
    <row r="33" spans="1:6" x14ac:dyDescent="0.25">
      <c r="A33" s="105">
        <v>1</v>
      </c>
      <c r="B33" s="16">
        <v>1</v>
      </c>
      <c r="C33" s="34" t="s">
        <v>76</v>
      </c>
      <c r="D33" s="33">
        <f>COUNTIF('BASE DE DATOS 2017'!AT:AT,B33)</f>
        <v>12</v>
      </c>
      <c r="E33" s="46">
        <f>D33/SUM(D33:D36)</f>
        <v>0.8</v>
      </c>
      <c r="F33" s="33"/>
    </row>
    <row r="34" spans="1:6" x14ac:dyDescent="0.25">
      <c r="A34" s="105">
        <v>0.66666666666666663</v>
      </c>
      <c r="B34" s="16">
        <v>2</v>
      </c>
      <c r="C34" s="34" t="s">
        <v>77</v>
      </c>
      <c r="D34" s="33">
        <f>COUNTIF('BASE DE DATOS 2017'!AT:AT,B34)</f>
        <v>3</v>
      </c>
      <c r="E34" s="46">
        <f>D34/SUM(D33:D36)</f>
        <v>0.2</v>
      </c>
      <c r="F34" s="33"/>
    </row>
    <row r="35" spans="1:6" x14ac:dyDescent="0.25">
      <c r="A35" s="106">
        <v>0.33333333333333331</v>
      </c>
      <c r="B35" s="16">
        <v>3</v>
      </c>
      <c r="C35" s="34" t="s">
        <v>78</v>
      </c>
      <c r="D35" s="33">
        <f>COUNTIF('BASE DE DATOS 2017'!AT:AT,B35)</f>
        <v>0</v>
      </c>
      <c r="E35" s="46">
        <f>D35/SUM(D33:D36)</f>
        <v>0</v>
      </c>
      <c r="F35" s="33"/>
    </row>
    <row r="36" spans="1:6" x14ac:dyDescent="0.25">
      <c r="A36" s="106">
        <v>0</v>
      </c>
      <c r="B36" s="16">
        <v>4</v>
      </c>
      <c r="C36" s="34" t="s">
        <v>79</v>
      </c>
      <c r="D36" s="33">
        <f>COUNTIF('BASE DE DATOS 2017'!AT:AT,B36)</f>
        <v>0</v>
      </c>
      <c r="E36" s="46">
        <f>D36/SUM(D33:D36)</f>
        <v>0</v>
      </c>
      <c r="F36" s="16"/>
    </row>
    <row r="37" spans="1:6" x14ac:dyDescent="0.25">
      <c r="D37" s="14">
        <f>((D33*A33)+(D34*A34)+(D35*A35)+(D36*A36))/(SUM(D33:D36)*A33)</f>
        <v>0.93333333333333335</v>
      </c>
      <c r="E37" s="16"/>
      <c r="F37" s="16"/>
    </row>
    <row r="46" spans="1:6" x14ac:dyDescent="0.25">
      <c r="B46" s="10"/>
      <c r="C46" s="331" t="s">
        <v>50</v>
      </c>
      <c r="D46" s="331"/>
      <c r="E46" s="331"/>
      <c r="F46" s="332"/>
    </row>
    <row r="47" spans="1:6" ht="28.5" customHeight="1" x14ac:dyDescent="0.25">
      <c r="A47" s="104"/>
      <c r="B47" s="19">
        <v>46</v>
      </c>
      <c r="C47" s="338" t="s">
        <v>135</v>
      </c>
      <c r="D47" s="339"/>
      <c r="E47" s="339"/>
      <c r="F47" s="340"/>
    </row>
    <row r="48" spans="1:6" x14ac:dyDescent="0.25">
      <c r="A48" s="103" t="s">
        <v>54</v>
      </c>
      <c r="B48" s="16"/>
      <c r="C48" s="35"/>
      <c r="D48" s="32" t="s">
        <v>55</v>
      </c>
      <c r="E48" s="45" t="s">
        <v>67</v>
      </c>
      <c r="F48" s="35"/>
    </row>
    <row r="49" spans="1:6" ht="26.25" x14ac:dyDescent="0.25">
      <c r="A49" s="105">
        <v>0</v>
      </c>
      <c r="B49" s="16">
        <v>1</v>
      </c>
      <c r="C49" s="52" t="s">
        <v>136</v>
      </c>
      <c r="D49" s="33">
        <f>COUNTIF('BASE DE DATOS 2017'!AU:AU,B49)</f>
        <v>6</v>
      </c>
      <c r="E49" s="46">
        <f>D49/SUM(D49:D51)</f>
        <v>0.4</v>
      </c>
      <c r="F49" s="33"/>
    </row>
    <row r="50" spans="1:6" x14ac:dyDescent="0.25">
      <c r="A50" s="106">
        <v>1</v>
      </c>
      <c r="B50" s="16">
        <v>2</v>
      </c>
      <c r="C50" s="52" t="s">
        <v>114</v>
      </c>
      <c r="D50" s="33">
        <f>COUNTIF('BASE DE DATOS 2017'!AU:AU,B50)</f>
        <v>9</v>
      </c>
      <c r="E50" s="46">
        <f>D50/SUM(D49:D51)</f>
        <v>0.6</v>
      </c>
      <c r="F50" s="33"/>
    </row>
    <row r="51" spans="1:6" ht="26.25" x14ac:dyDescent="0.25">
      <c r="A51" s="106">
        <v>0</v>
      </c>
      <c r="B51" s="16">
        <v>3</v>
      </c>
      <c r="C51" s="52" t="s">
        <v>137</v>
      </c>
      <c r="D51" s="33">
        <f>COUNTIF('BASE DE DATOS 2017'!AU:AU,B51)</f>
        <v>0</v>
      </c>
      <c r="E51" s="46">
        <f>D51/SUM(D49:D51)</f>
        <v>0</v>
      </c>
      <c r="F51" s="16"/>
    </row>
    <row r="52" spans="1:6" x14ac:dyDescent="0.25">
      <c r="D52" s="14">
        <f>((D49*A49)+(D50*A50)+(D51*A51))/(SUM(D49:D51)*A50)</f>
        <v>0.6</v>
      </c>
      <c r="E52" s="16"/>
      <c r="F52" s="16"/>
    </row>
    <row r="55" spans="1:6" x14ac:dyDescent="0.25">
      <c r="B55" s="10"/>
      <c r="C55" s="331" t="s">
        <v>125</v>
      </c>
      <c r="D55" s="331"/>
      <c r="E55" s="331"/>
      <c r="F55" s="332"/>
    </row>
    <row r="56" spans="1:6" x14ac:dyDescent="0.25">
      <c r="A56" s="104"/>
      <c r="B56" s="19">
        <v>47</v>
      </c>
      <c r="C56" s="338" t="s">
        <v>126</v>
      </c>
      <c r="D56" s="339"/>
      <c r="E56" s="339"/>
      <c r="F56" s="340"/>
    </row>
    <row r="57" spans="1:6" x14ac:dyDescent="0.25">
      <c r="A57" s="103" t="s">
        <v>54</v>
      </c>
      <c r="B57" s="16"/>
      <c r="C57" s="35"/>
      <c r="D57" s="32" t="s">
        <v>55</v>
      </c>
      <c r="E57" s="45" t="s">
        <v>67</v>
      </c>
      <c r="F57" s="35"/>
    </row>
    <row r="58" spans="1:6" x14ac:dyDescent="0.25">
      <c r="A58" s="105">
        <v>1</v>
      </c>
      <c r="B58" s="16">
        <v>1</v>
      </c>
      <c r="C58" s="34" t="s">
        <v>76</v>
      </c>
      <c r="D58" s="33">
        <f>COUNTIF('BASE DE DATOS 2017'!AV:AV,B58)</f>
        <v>12</v>
      </c>
      <c r="E58" s="46">
        <f>D58/SUM(D58:D61)</f>
        <v>0.8</v>
      </c>
      <c r="F58" s="33"/>
    </row>
    <row r="59" spans="1:6" x14ac:dyDescent="0.25">
      <c r="A59" s="105">
        <v>0.66666666666666663</v>
      </c>
      <c r="B59" s="16">
        <v>2</v>
      </c>
      <c r="C59" s="34" t="s">
        <v>77</v>
      </c>
      <c r="D59" s="33">
        <f>COUNTIF('BASE DE DATOS 2017'!AV:AV,B59)</f>
        <v>3</v>
      </c>
      <c r="E59" s="46">
        <f>D59/SUM(D58:D61)</f>
        <v>0.2</v>
      </c>
      <c r="F59" s="33"/>
    </row>
    <row r="60" spans="1:6" x14ac:dyDescent="0.25">
      <c r="A60" s="106">
        <v>0.33333333333333331</v>
      </c>
      <c r="B60" s="16">
        <v>3</v>
      </c>
      <c r="C60" s="34" t="s">
        <v>78</v>
      </c>
      <c r="D60" s="33">
        <f>COUNTIF('BASE DE DATOS 2017'!AV:AV,B60)</f>
        <v>0</v>
      </c>
      <c r="E60" s="46">
        <f>D60/SUM(D58:D61)</f>
        <v>0</v>
      </c>
      <c r="F60" s="33"/>
    </row>
    <row r="61" spans="1:6" x14ac:dyDescent="0.25">
      <c r="A61" s="106">
        <v>0</v>
      </c>
      <c r="B61" s="16">
        <v>4</v>
      </c>
      <c r="C61" s="34" t="s">
        <v>79</v>
      </c>
      <c r="D61" s="33">
        <f>COUNTIF('BASE DE DATOS 2017'!AV:AV,B61)</f>
        <v>0</v>
      </c>
      <c r="E61" s="46">
        <f>D61/SUM(D58:D61)</f>
        <v>0</v>
      </c>
      <c r="F61" s="16"/>
    </row>
    <row r="62" spans="1:6" x14ac:dyDescent="0.25">
      <c r="D62" s="14">
        <f>((D58*A58)+(D59*A59)+(D60*A60)+(D61*A61))/(SUM(D58:D61)*A58)</f>
        <v>0.93333333333333335</v>
      </c>
      <c r="E62" s="16"/>
      <c r="F62" s="16"/>
    </row>
    <row r="63" spans="1:6" x14ac:dyDescent="0.25">
      <c r="A63" s="104"/>
      <c r="B63" s="19">
        <v>48</v>
      </c>
      <c r="C63" s="338" t="s">
        <v>127</v>
      </c>
      <c r="D63" s="339"/>
      <c r="E63" s="339"/>
      <c r="F63" s="340"/>
    </row>
    <row r="64" spans="1:6" x14ac:dyDescent="0.25">
      <c r="A64" s="103" t="s">
        <v>54</v>
      </c>
      <c r="B64" s="16"/>
      <c r="C64" s="35"/>
      <c r="D64" s="32" t="s">
        <v>55</v>
      </c>
      <c r="E64" s="45" t="s">
        <v>67</v>
      </c>
      <c r="F64" s="35"/>
    </row>
    <row r="65" spans="1:6" x14ac:dyDescent="0.25">
      <c r="A65" s="105">
        <v>1</v>
      </c>
      <c r="B65" s="16">
        <v>1</v>
      </c>
      <c r="C65" s="34" t="s">
        <v>76</v>
      </c>
      <c r="D65" s="33">
        <f>COUNTIF('BASE DE DATOS 2017'!AW:AW,B65)</f>
        <v>14</v>
      </c>
      <c r="E65" s="46">
        <f>D65/SUM(D65:D68)</f>
        <v>0.93333333333333335</v>
      </c>
      <c r="F65" s="33"/>
    </row>
    <row r="66" spans="1:6" x14ac:dyDescent="0.25">
      <c r="A66" s="105">
        <v>0.66666666666666663</v>
      </c>
      <c r="B66" s="16">
        <v>2</v>
      </c>
      <c r="C66" s="34" t="s">
        <v>77</v>
      </c>
      <c r="D66" s="33">
        <f>COUNTIF('BASE DE DATOS 2017'!AW:AW,B66)</f>
        <v>1</v>
      </c>
      <c r="E66" s="46">
        <f>D66/SUM(D65:D68)</f>
        <v>6.6666666666666666E-2</v>
      </c>
      <c r="F66" s="33"/>
    </row>
    <row r="67" spans="1:6" x14ac:dyDescent="0.25">
      <c r="A67" s="106">
        <v>0.33333333333333331</v>
      </c>
      <c r="B67" s="16">
        <v>3</v>
      </c>
      <c r="C67" s="34" t="s">
        <v>78</v>
      </c>
      <c r="D67" s="33">
        <f>COUNTIF('BASE DE DATOS 2017'!AW:AW,B67)</f>
        <v>0</v>
      </c>
      <c r="E67" s="46">
        <f>D67/SUM(D65:D68)</f>
        <v>0</v>
      </c>
      <c r="F67" s="33"/>
    </row>
    <row r="68" spans="1:6" x14ac:dyDescent="0.25">
      <c r="A68" s="106">
        <v>0</v>
      </c>
      <c r="B68" s="16">
        <v>4</v>
      </c>
      <c r="C68" s="34" t="s">
        <v>79</v>
      </c>
      <c r="D68" s="33">
        <f>COUNTIF('BASE DE DATOS 2017'!AW:AW,B68)</f>
        <v>0</v>
      </c>
      <c r="E68" s="46">
        <f>D68/SUM(D65:D68)</f>
        <v>0</v>
      </c>
      <c r="F68" s="16"/>
    </row>
    <row r="69" spans="1:6" x14ac:dyDescent="0.25">
      <c r="D69" s="14">
        <f>((D65*A65)+(D66*A66)+(D67*A67)+(D68*A68))/(SUM(D65:D68)*A65)</f>
        <v>0.97777777777777775</v>
      </c>
      <c r="E69" s="16"/>
      <c r="F69" s="16"/>
    </row>
    <row r="70" spans="1:6" x14ac:dyDescent="0.25">
      <c r="E70" s="341">
        <f>AVERAGE(D62,D69)</f>
        <v>0.95555555555555549</v>
      </c>
      <c r="F70" s="342"/>
    </row>
    <row r="72" spans="1:6" x14ac:dyDescent="0.25">
      <c r="B72" s="10"/>
      <c r="C72" s="331" t="s">
        <v>51</v>
      </c>
      <c r="D72" s="331"/>
      <c r="E72" s="331"/>
      <c r="F72" s="332"/>
    </row>
    <row r="73" spans="1:6" x14ac:dyDescent="0.25">
      <c r="A73" s="104"/>
      <c r="B73" s="19">
        <v>49</v>
      </c>
      <c r="C73" s="338" t="s">
        <v>138</v>
      </c>
      <c r="D73" s="339"/>
      <c r="E73" s="339"/>
      <c r="F73" s="340"/>
    </row>
    <row r="74" spans="1:6" x14ac:dyDescent="0.25">
      <c r="A74" s="103" t="s">
        <v>54</v>
      </c>
      <c r="B74" s="16"/>
      <c r="C74" s="35"/>
      <c r="D74" s="32" t="s">
        <v>55</v>
      </c>
      <c r="E74" s="45" t="s">
        <v>67</v>
      </c>
      <c r="F74" s="35"/>
    </row>
    <row r="75" spans="1:6" x14ac:dyDescent="0.25">
      <c r="A75" s="105">
        <v>1</v>
      </c>
      <c r="B75" s="16">
        <v>1</v>
      </c>
      <c r="C75" s="34" t="s">
        <v>64</v>
      </c>
      <c r="D75" s="33">
        <f>COUNTIF('BASE DE DATOS 2017'!AX:AX,B75)</f>
        <v>14</v>
      </c>
      <c r="E75" s="46">
        <f>D75/SUM(D75:D76)</f>
        <v>0.93333333333333335</v>
      </c>
      <c r="F75" s="33"/>
    </row>
    <row r="76" spans="1:6" x14ac:dyDescent="0.25">
      <c r="A76" s="105">
        <v>0</v>
      </c>
      <c r="B76" s="16">
        <v>2</v>
      </c>
      <c r="C76" s="34" t="s">
        <v>65</v>
      </c>
      <c r="D76" s="33">
        <f>COUNTIF('BASE DE DATOS 2017'!AX:AX,B76)</f>
        <v>1</v>
      </c>
      <c r="E76" s="46">
        <f>D76/SUM(D75:D76)</f>
        <v>6.6666666666666666E-2</v>
      </c>
      <c r="F76" s="33"/>
    </row>
    <row r="77" spans="1:6" x14ac:dyDescent="0.25">
      <c r="D77" s="14">
        <f>((D75*A75)+(D76*A76))/(SUM(D75:D76)*A75)</f>
        <v>0.93333333333333335</v>
      </c>
      <c r="E77" s="16"/>
      <c r="F77" s="16"/>
    </row>
    <row r="78" spans="1:6" ht="26.25" customHeight="1" x14ac:dyDescent="0.25">
      <c r="A78" s="104"/>
      <c r="B78" s="19">
        <v>50</v>
      </c>
      <c r="C78" s="338" t="s">
        <v>139</v>
      </c>
      <c r="D78" s="339"/>
      <c r="E78" s="339"/>
      <c r="F78" s="340"/>
    </row>
    <row r="79" spans="1:6" x14ac:dyDescent="0.25">
      <c r="A79" s="103" t="s">
        <v>54</v>
      </c>
      <c r="B79" s="16"/>
      <c r="C79" s="35"/>
      <c r="D79" s="32" t="s">
        <v>55</v>
      </c>
      <c r="E79" s="45" t="s">
        <v>67</v>
      </c>
      <c r="F79" s="35"/>
    </row>
    <row r="80" spans="1:6" x14ac:dyDescent="0.25">
      <c r="A80" s="105">
        <v>0.75</v>
      </c>
      <c r="B80" s="16">
        <v>1</v>
      </c>
      <c r="C80" s="34" t="s">
        <v>140</v>
      </c>
      <c r="D80" s="33">
        <f>COUNTIF('BASE DE DATOS 2017'!AY:AY,B80)</f>
        <v>12</v>
      </c>
      <c r="E80" s="46">
        <f>D80/SUM(D80:D83)</f>
        <v>0.8</v>
      </c>
      <c r="F80" s="33"/>
    </row>
    <row r="81" spans="1:6" x14ac:dyDescent="0.25">
      <c r="A81" s="105">
        <v>0.5</v>
      </c>
      <c r="B81" s="16">
        <v>2</v>
      </c>
      <c r="C81" s="34" t="s">
        <v>141</v>
      </c>
      <c r="D81" s="33">
        <f>COUNTIF('BASE DE DATOS 2017'!AY:AY,B81)</f>
        <v>0</v>
      </c>
      <c r="E81" s="46">
        <f>D81/SUM(D80:D83)</f>
        <v>0</v>
      </c>
      <c r="F81" s="33"/>
    </row>
    <row r="82" spans="1:6" x14ac:dyDescent="0.25">
      <c r="A82" s="106">
        <v>1</v>
      </c>
      <c r="B82" s="16">
        <v>3</v>
      </c>
      <c r="C82" s="34" t="s">
        <v>142</v>
      </c>
      <c r="D82" s="33">
        <f>COUNTIF('BASE DE DATOS 2017'!AY:AY,B82)</f>
        <v>2</v>
      </c>
      <c r="E82" s="46">
        <f>D82/SUM(D80:D83)</f>
        <v>0.13333333333333333</v>
      </c>
      <c r="F82" s="33"/>
    </row>
    <row r="83" spans="1:6" x14ac:dyDescent="0.25">
      <c r="A83" s="106">
        <v>0</v>
      </c>
      <c r="B83" s="16">
        <v>4</v>
      </c>
      <c r="C83" s="34" t="s">
        <v>143</v>
      </c>
      <c r="D83" s="33">
        <f>COUNTIF('BASE DE DATOS 2017'!AY:AY,B83)</f>
        <v>1</v>
      </c>
      <c r="E83" s="46">
        <f>D83/SUM(D80:D83)</f>
        <v>6.6666666666666666E-2</v>
      </c>
      <c r="F83" s="16"/>
    </row>
    <row r="84" spans="1:6" x14ac:dyDescent="0.25">
      <c r="D84" s="14">
        <f>((D80*A80)+(D81*A81)+(D82*A82)+(D83*A83))/(SUM(D80:D83)*A82)</f>
        <v>0.73333333333333328</v>
      </c>
      <c r="E84" s="16"/>
      <c r="F84" s="16"/>
    </row>
    <row r="85" spans="1:6" x14ac:dyDescent="0.25">
      <c r="E85" s="341">
        <f>AVERAGE(D77,D84)</f>
        <v>0.83333333333333326</v>
      </c>
      <c r="F85" s="342"/>
    </row>
    <row r="88" spans="1:6" x14ac:dyDescent="0.25">
      <c r="B88" s="10"/>
      <c r="C88" s="331" t="s">
        <v>144</v>
      </c>
      <c r="D88" s="331"/>
      <c r="E88" s="331"/>
      <c r="F88" s="332"/>
    </row>
    <row r="89" spans="1:6" ht="26.25" customHeight="1" x14ac:dyDescent="0.25">
      <c r="B89" s="39">
        <v>51</v>
      </c>
      <c r="C89" s="355" t="s">
        <v>145</v>
      </c>
      <c r="D89" s="355"/>
      <c r="E89" s="355"/>
      <c r="F89" s="356"/>
    </row>
    <row r="90" spans="1:6" x14ac:dyDescent="0.25">
      <c r="A90" s="103" t="s">
        <v>54</v>
      </c>
      <c r="B90" s="24"/>
      <c r="C90" s="24"/>
      <c r="D90" s="32" t="s">
        <v>55</v>
      </c>
      <c r="E90" s="45" t="s">
        <v>67</v>
      </c>
      <c r="F90" s="28"/>
    </row>
    <row r="91" spans="1:6" x14ac:dyDescent="0.25">
      <c r="A91" s="104">
        <v>1</v>
      </c>
      <c r="B91" s="16">
        <v>1</v>
      </c>
      <c r="C91" s="16" t="s">
        <v>76</v>
      </c>
      <c r="D91" s="33">
        <f>COUNTIF('BASE DE DATOS 2017'!AZ:AZ,B91)</f>
        <v>14</v>
      </c>
      <c r="E91" s="46">
        <f>D91/SUM(D91:D95)</f>
        <v>0.93333333333333335</v>
      </c>
      <c r="F91" s="21"/>
    </row>
    <row r="92" spans="1:6" x14ac:dyDescent="0.25">
      <c r="A92" s="104">
        <v>0.5</v>
      </c>
      <c r="B92" s="16">
        <v>2</v>
      </c>
      <c r="C92" s="16" t="s">
        <v>77</v>
      </c>
      <c r="D92" s="33">
        <f>COUNTIF('BASE DE DATOS 2017'!AZ:AZ,B92)</f>
        <v>0</v>
      </c>
      <c r="E92" s="46">
        <f>D92/SUM(D91:D95)</f>
        <v>0</v>
      </c>
      <c r="F92" s="21"/>
    </row>
    <row r="93" spans="1:6" x14ac:dyDescent="0.25">
      <c r="A93" s="104">
        <v>0.25</v>
      </c>
      <c r="B93" s="16">
        <v>3</v>
      </c>
      <c r="C93" s="16" t="s">
        <v>78</v>
      </c>
      <c r="D93" s="33">
        <f>COUNTIF('BASE DE DATOS 2017'!AZ:AZ,B93)</f>
        <v>1</v>
      </c>
      <c r="E93" s="46">
        <f>D93/SUM(D91:D95)</f>
        <v>6.6666666666666666E-2</v>
      </c>
      <c r="F93" s="21"/>
    </row>
    <row r="94" spans="1:6" x14ac:dyDescent="0.25">
      <c r="A94" s="104">
        <v>0</v>
      </c>
      <c r="B94" s="16">
        <v>4</v>
      </c>
      <c r="C94" s="16" t="s">
        <v>79</v>
      </c>
      <c r="D94" s="33">
        <f>COUNTIF('BASE DE DATOS 2017'!AZ:AZ,B94)</f>
        <v>0</v>
      </c>
      <c r="E94" s="46">
        <f>D94/SUM(D91:D95)</f>
        <v>0</v>
      </c>
      <c r="F94" s="21"/>
    </row>
    <row r="95" spans="1:6" x14ac:dyDescent="0.25">
      <c r="A95" s="104"/>
      <c r="B95" s="16">
        <v>5</v>
      </c>
      <c r="C95" s="16" t="s">
        <v>257</v>
      </c>
      <c r="D95" s="33">
        <f>COUNTIF('BASE DE DATOS 2017'!AZ:AZ,B95)</f>
        <v>0</v>
      </c>
      <c r="E95" s="46">
        <f>D95/SUM(D91:D95)</f>
        <v>0</v>
      </c>
      <c r="F95" s="21"/>
    </row>
    <row r="96" spans="1:6" x14ac:dyDescent="0.25">
      <c r="D96" s="14">
        <f>((D91*A91)+(D92*A92)+(D93*A93)+(D94*A94))/(SUM(D91:D94)*A91)</f>
        <v>0.95</v>
      </c>
      <c r="E96" s="16"/>
      <c r="F96" s="21"/>
    </row>
  </sheetData>
  <mergeCells count="20">
    <mergeCell ref="C72:F72"/>
    <mergeCell ref="E85:F85"/>
    <mergeCell ref="C88:F88"/>
    <mergeCell ref="C89:F89"/>
    <mergeCell ref="E17:F17"/>
    <mergeCell ref="C31:F31"/>
    <mergeCell ref="C47:F47"/>
    <mergeCell ref="C73:F73"/>
    <mergeCell ref="C78:F78"/>
    <mergeCell ref="E70:F70"/>
    <mergeCell ref="C21:F21"/>
    <mergeCell ref="C63:F63"/>
    <mergeCell ref="C20:F20"/>
    <mergeCell ref="C2:F2"/>
    <mergeCell ref="C9:F9"/>
    <mergeCell ref="C56:F56"/>
    <mergeCell ref="C1:F1"/>
    <mergeCell ref="C30:F30"/>
    <mergeCell ref="C46:F46"/>
    <mergeCell ref="C55:F5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"/>
  <sheetViews>
    <sheetView topLeftCell="K1" workbookViewId="0">
      <selection activeCell="Z32" sqref="Z32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101" customFormat="1" x14ac:dyDescent="0.2">
      <c r="B1" s="101">
        <v>1</v>
      </c>
      <c r="C1" s="101">
        <v>2</v>
      </c>
      <c r="D1" s="101">
        <v>3</v>
      </c>
      <c r="E1" s="101">
        <v>4</v>
      </c>
      <c r="F1" s="101">
        <v>5</v>
      </c>
      <c r="G1" s="101">
        <v>6</v>
      </c>
      <c r="H1" s="101">
        <v>7</v>
      </c>
      <c r="I1" s="101">
        <v>8</v>
      </c>
      <c r="J1" s="101">
        <v>9</v>
      </c>
      <c r="K1" s="101">
        <v>10</v>
      </c>
      <c r="L1" s="101">
        <v>11</v>
      </c>
      <c r="M1" s="101">
        <v>12</v>
      </c>
      <c r="N1" s="101">
        <v>13</v>
      </c>
      <c r="O1" s="101">
        <v>14</v>
      </c>
      <c r="P1" s="101">
        <v>15</v>
      </c>
      <c r="Q1" s="101">
        <v>16</v>
      </c>
      <c r="R1" s="101">
        <v>17</v>
      </c>
      <c r="S1" s="101">
        <v>18</v>
      </c>
      <c r="T1" s="101">
        <v>19</v>
      </c>
      <c r="U1" s="101">
        <v>20</v>
      </c>
      <c r="V1" s="101">
        <v>21</v>
      </c>
      <c r="W1" s="101">
        <v>22</v>
      </c>
      <c r="X1" s="101">
        <v>23</v>
      </c>
      <c r="Y1" s="101">
        <v>24</v>
      </c>
      <c r="Z1" s="101">
        <v>25</v>
      </c>
      <c r="AA1" s="101">
        <v>26</v>
      </c>
      <c r="AB1" s="101">
        <v>27</v>
      </c>
      <c r="AC1" s="101">
        <v>28</v>
      </c>
      <c r="AD1" s="101">
        <v>29</v>
      </c>
      <c r="AE1" s="101">
        <v>30</v>
      </c>
      <c r="AF1" s="101">
        <v>31</v>
      </c>
      <c r="AG1" s="101">
        <v>32</v>
      </c>
      <c r="AH1" s="101">
        <v>33</v>
      </c>
      <c r="AI1" s="101">
        <v>34</v>
      </c>
      <c r="AJ1" s="101">
        <v>35</v>
      </c>
      <c r="AK1" s="101">
        <v>36</v>
      </c>
      <c r="AL1" s="101">
        <v>37</v>
      </c>
      <c r="AM1" s="101">
        <v>38</v>
      </c>
      <c r="AN1" s="101">
        <v>39</v>
      </c>
      <c r="AO1" s="101">
        <v>40</v>
      </c>
      <c r="AP1" s="101">
        <v>41</v>
      </c>
      <c r="AQ1" s="101">
        <v>42</v>
      </c>
      <c r="AR1" s="101">
        <v>43</v>
      </c>
      <c r="AS1" s="101">
        <v>44</v>
      </c>
      <c r="AT1" s="101">
        <v>45</v>
      </c>
      <c r="AU1" s="101">
        <v>46</v>
      </c>
      <c r="AV1" s="101">
        <v>47</v>
      </c>
      <c r="AW1" s="101">
        <v>48</v>
      </c>
      <c r="AX1" s="101">
        <v>49</v>
      </c>
      <c r="AY1" s="101">
        <v>50</v>
      </c>
      <c r="AZ1" s="101">
        <v>51</v>
      </c>
      <c r="BA1" s="101">
        <v>52</v>
      </c>
    </row>
    <row r="2" spans="1:53" s="3" customFormat="1" x14ac:dyDescent="0.2">
      <c r="B2" s="3" t="s">
        <v>186</v>
      </c>
      <c r="C2" s="3" t="s">
        <v>187</v>
      </c>
      <c r="D2" s="3" t="s">
        <v>242</v>
      </c>
      <c r="E2" s="3" t="s">
        <v>243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241</v>
      </c>
      <c r="N2" s="3" t="s">
        <v>197</v>
      </c>
      <c r="O2" s="3" t="s">
        <v>198</v>
      </c>
      <c r="P2" s="3" t="s">
        <v>239</v>
      </c>
      <c r="Q2" s="3" t="s">
        <v>200</v>
      </c>
      <c r="R2" s="3" t="s">
        <v>201</v>
      </c>
      <c r="S2" s="3" t="s">
        <v>235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244</v>
      </c>
      <c r="Z2" s="4" t="s">
        <v>240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237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4" t="s">
        <v>225</v>
      </c>
      <c r="AW2" s="3" t="s">
        <v>236</v>
      </c>
      <c r="AX2" s="3" t="s">
        <v>231</v>
      </c>
      <c r="AY2" s="79" t="s">
        <v>238</v>
      </c>
      <c r="AZ2" s="3" t="s">
        <v>233</v>
      </c>
      <c r="BA2" s="3" t="s">
        <v>234</v>
      </c>
    </row>
    <row r="3" spans="1:53" ht="15" x14ac:dyDescent="0.25">
      <c r="A3" s="1">
        <v>1432</v>
      </c>
      <c r="B3">
        <v>2</v>
      </c>
      <c r="C3">
        <v>2</v>
      </c>
      <c r="D3">
        <v>1</v>
      </c>
      <c r="E3">
        <v>1</v>
      </c>
      <c r="F3">
        <v>2</v>
      </c>
      <c r="G3">
        <v>1</v>
      </c>
      <c r="H3">
        <v>5</v>
      </c>
      <c r="I3">
        <v>1</v>
      </c>
      <c r="J3">
        <v>1</v>
      </c>
      <c r="K3">
        <v>2</v>
      </c>
      <c r="L3">
        <v>1</v>
      </c>
      <c r="M3">
        <v>1</v>
      </c>
      <c r="N3">
        <v>2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/>
      <c r="W3"/>
      <c r="X3"/>
      <c r="Y3">
        <v>1</v>
      </c>
      <c r="Z3">
        <v>1</v>
      </c>
      <c r="AA3">
        <v>1</v>
      </c>
      <c r="AB3"/>
      <c r="AC3"/>
      <c r="AD3">
        <v>1</v>
      </c>
      <c r="AE3">
        <v>1</v>
      </c>
      <c r="AF3">
        <v>1</v>
      </c>
      <c r="AG3">
        <v>3</v>
      </c>
      <c r="AH3">
        <v>1</v>
      </c>
      <c r="AI3">
        <v>1</v>
      </c>
      <c r="AJ3">
        <v>1</v>
      </c>
      <c r="AK3">
        <v>1</v>
      </c>
      <c r="AL3">
        <v>1</v>
      </c>
      <c r="AM3">
        <v>2</v>
      </c>
      <c r="AN3">
        <v>1</v>
      </c>
      <c r="AO3">
        <v>1</v>
      </c>
      <c r="AP3">
        <v>2</v>
      </c>
      <c r="AQ3">
        <v>1</v>
      </c>
      <c r="AR3">
        <v>5</v>
      </c>
      <c r="AS3">
        <v>1</v>
      </c>
      <c r="AT3">
        <v>2</v>
      </c>
      <c r="AU3">
        <v>2</v>
      </c>
      <c r="AV3">
        <v>2</v>
      </c>
      <c r="AW3">
        <v>1</v>
      </c>
      <c r="AX3">
        <v>1</v>
      </c>
      <c r="AY3">
        <v>1</v>
      </c>
      <c r="AZ3">
        <v>1</v>
      </c>
      <c r="BA3">
        <v>500</v>
      </c>
    </row>
    <row r="4" spans="1:53" ht="15" x14ac:dyDescent="0.25">
      <c r="A4" s="1">
        <v>1433</v>
      </c>
      <c r="B4">
        <v>2</v>
      </c>
      <c r="C4">
        <v>1</v>
      </c>
      <c r="D4">
        <v>2</v>
      </c>
      <c r="E4">
        <v>2</v>
      </c>
      <c r="F4">
        <v>1</v>
      </c>
      <c r="G4">
        <v>1</v>
      </c>
      <c r="H4">
        <v>4</v>
      </c>
      <c r="I4">
        <v>1</v>
      </c>
      <c r="J4">
        <v>1</v>
      </c>
      <c r="K4">
        <v>2</v>
      </c>
      <c r="L4">
        <v>1</v>
      </c>
      <c r="M4">
        <v>1</v>
      </c>
      <c r="N4">
        <v>2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/>
      <c r="W4"/>
      <c r="X4"/>
      <c r="Y4"/>
      <c r="Z4"/>
      <c r="AA4"/>
      <c r="AB4">
        <v>1</v>
      </c>
      <c r="AC4">
        <v>1</v>
      </c>
      <c r="AD4">
        <v>1</v>
      </c>
      <c r="AE4">
        <v>1</v>
      </c>
      <c r="AF4">
        <v>2</v>
      </c>
      <c r="AG4">
        <v>3</v>
      </c>
      <c r="AH4">
        <v>1</v>
      </c>
      <c r="AI4">
        <v>1</v>
      </c>
      <c r="AJ4">
        <v>1</v>
      </c>
      <c r="AK4">
        <v>1</v>
      </c>
      <c r="AL4">
        <v>1</v>
      </c>
      <c r="AM4">
        <v>2</v>
      </c>
      <c r="AN4">
        <v>1</v>
      </c>
      <c r="AO4">
        <v>2</v>
      </c>
      <c r="AP4">
        <v>2</v>
      </c>
      <c r="AQ4">
        <v>1</v>
      </c>
      <c r="AR4">
        <v>5</v>
      </c>
      <c r="AS4">
        <v>1</v>
      </c>
      <c r="AT4">
        <v>1</v>
      </c>
      <c r="AU4">
        <v>2</v>
      </c>
      <c r="AV4">
        <v>2</v>
      </c>
      <c r="AW4">
        <v>1</v>
      </c>
      <c r="AX4">
        <v>1</v>
      </c>
      <c r="AY4">
        <v>1</v>
      </c>
      <c r="AZ4">
        <v>1</v>
      </c>
      <c r="BA4">
        <v>500</v>
      </c>
    </row>
    <row r="5" spans="1:53" ht="15" x14ac:dyDescent="0.25">
      <c r="A5" s="1">
        <v>1434</v>
      </c>
      <c r="B5">
        <v>4</v>
      </c>
      <c r="C5">
        <v>1</v>
      </c>
      <c r="D5">
        <v>2</v>
      </c>
      <c r="E5">
        <v>2</v>
      </c>
      <c r="F5">
        <v>1</v>
      </c>
      <c r="G5">
        <v>1</v>
      </c>
      <c r="H5">
        <v>1</v>
      </c>
      <c r="I5">
        <v>1</v>
      </c>
      <c r="J5">
        <v>1</v>
      </c>
      <c r="K5">
        <v>2</v>
      </c>
      <c r="L5">
        <v>1</v>
      </c>
      <c r="M5">
        <v>1</v>
      </c>
      <c r="N5">
        <v>2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/>
      <c r="W5"/>
      <c r="X5"/>
      <c r="Y5"/>
      <c r="Z5"/>
      <c r="AA5"/>
      <c r="AB5">
        <v>1</v>
      </c>
      <c r="AC5">
        <v>1</v>
      </c>
      <c r="AD5">
        <v>1</v>
      </c>
      <c r="AE5">
        <v>1</v>
      </c>
      <c r="AF5">
        <v>2</v>
      </c>
      <c r="AG5">
        <v>3</v>
      </c>
      <c r="AH5">
        <v>1</v>
      </c>
      <c r="AI5">
        <v>1</v>
      </c>
      <c r="AJ5">
        <v>1</v>
      </c>
      <c r="AK5">
        <v>1</v>
      </c>
      <c r="AL5">
        <v>1</v>
      </c>
      <c r="AM5">
        <v>2</v>
      </c>
      <c r="AN5">
        <v>1</v>
      </c>
      <c r="AO5">
        <v>2</v>
      </c>
      <c r="AP5">
        <v>2</v>
      </c>
      <c r="AQ5">
        <v>1</v>
      </c>
      <c r="AR5">
        <v>5</v>
      </c>
      <c r="AS5">
        <v>1</v>
      </c>
      <c r="AT5">
        <v>2</v>
      </c>
      <c r="AU5">
        <v>2</v>
      </c>
      <c r="AV5">
        <v>4</v>
      </c>
      <c r="AW5">
        <v>2</v>
      </c>
      <c r="AX5">
        <v>1</v>
      </c>
      <c r="AY5">
        <v>1</v>
      </c>
      <c r="AZ5">
        <v>1</v>
      </c>
      <c r="BA5">
        <v>500</v>
      </c>
    </row>
    <row r="6" spans="1:53" ht="15" x14ac:dyDescent="0.25">
      <c r="A6" s="1">
        <v>1435</v>
      </c>
      <c r="B6">
        <v>3</v>
      </c>
      <c r="C6">
        <v>1</v>
      </c>
      <c r="D6">
        <v>3</v>
      </c>
      <c r="E6">
        <v>3</v>
      </c>
      <c r="F6">
        <v>1</v>
      </c>
      <c r="G6">
        <v>1</v>
      </c>
      <c r="H6">
        <v>3</v>
      </c>
      <c r="I6">
        <v>1</v>
      </c>
      <c r="J6">
        <v>1</v>
      </c>
      <c r="K6">
        <v>2</v>
      </c>
      <c r="L6">
        <v>1</v>
      </c>
      <c r="M6">
        <v>4</v>
      </c>
      <c r="N6">
        <v>2</v>
      </c>
      <c r="O6">
        <v>2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/>
      <c r="W6"/>
      <c r="X6"/>
      <c r="Y6"/>
      <c r="Z6"/>
      <c r="AA6"/>
      <c r="AB6">
        <v>1</v>
      </c>
      <c r="AC6">
        <v>1</v>
      </c>
      <c r="AD6">
        <v>2</v>
      </c>
      <c r="AE6">
        <v>1</v>
      </c>
      <c r="AF6">
        <v>1</v>
      </c>
      <c r="AG6">
        <v>3</v>
      </c>
      <c r="AH6">
        <v>1</v>
      </c>
      <c r="AI6">
        <v>1</v>
      </c>
      <c r="AJ6">
        <v>1</v>
      </c>
      <c r="AK6">
        <v>1</v>
      </c>
      <c r="AL6">
        <v>1</v>
      </c>
      <c r="AM6">
        <v>2</v>
      </c>
      <c r="AN6">
        <v>1</v>
      </c>
      <c r="AO6">
        <v>2</v>
      </c>
      <c r="AP6">
        <v>2</v>
      </c>
      <c r="AQ6">
        <v>1</v>
      </c>
      <c r="AR6">
        <v>5</v>
      </c>
      <c r="AS6">
        <v>1</v>
      </c>
      <c r="AT6">
        <v>1</v>
      </c>
      <c r="AU6">
        <v>2</v>
      </c>
      <c r="AV6">
        <v>2</v>
      </c>
      <c r="AW6">
        <v>1</v>
      </c>
      <c r="AX6">
        <v>1</v>
      </c>
      <c r="AY6">
        <v>1</v>
      </c>
      <c r="AZ6">
        <v>1</v>
      </c>
      <c r="BA6">
        <v>500</v>
      </c>
    </row>
    <row r="7" spans="1:53" ht="15" x14ac:dyDescent="0.25">
      <c r="A7" s="1">
        <v>1436</v>
      </c>
      <c r="B7">
        <v>5</v>
      </c>
      <c r="C7">
        <v>1</v>
      </c>
      <c r="D7">
        <v>2</v>
      </c>
      <c r="E7">
        <v>2</v>
      </c>
      <c r="F7">
        <v>1</v>
      </c>
      <c r="G7">
        <v>1</v>
      </c>
      <c r="H7">
        <v>3</v>
      </c>
      <c r="I7">
        <v>1</v>
      </c>
      <c r="J7">
        <v>1</v>
      </c>
      <c r="K7">
        <v>2</v>
      </c>
      <c r="L7">
        <v>1</v>
      </c>
      <c r="M7">
        <v>3</v>
      </c>
      <c r="N7">
        <v>2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/>
      <c r="W7"/>
      <c r="X7"/>
      <c r="Y7"/>
      <c r="Z7"/>
      <c r="AA7"/>
      <c r="AB7">
        <v>1</v>
      </c>
      <c r="AC7">
        <v>1</v>
      </c>
      <c r="AD7">
        <v>1</v>
      </c>
      <c r="AE7">
        <v>1</v>
      </c>
      <c r="AF7">
        <v>1</v>
      </c>
      <c r="AG7">
        <v>3</v>
      </c>
      <c r="AH7">
        <v>1</v>
      </c>
      <c r="AI7">
        <v>1</v>
      </c>
      <c r="AJ7">
        <v>1</v>
      </c>
      <c r="AK7">
        <v>1</v>
      </c>
      <c r="AL7">
        <v>1</v>
      </c>
      <c r="AM7">
        <v>2</v>
      </c>
      <c r="AN7">
        <v>1</v>
      </c>
      <c r="AO7">
        <v>1</v>
      </c>
      <c r="AP7">
        <v>1</v>
      </c>
      <c r="AQ7">
        <v>1</v>
      </c>
      <c r="AR7">
        <v>5</v>
      </c>
      <c r="AS7">
        <v>1</v>
      </c>
      <c r="AT7">
        <v>1</v>
      </c>
      <c r="AU7">
        <v>2</v>
      </c>
      <c r="AV7">
        <v>3</v>
      </c>
      <c r="AW7">
        <v>1</v>
      </c>
      <c r="AX7">
        <v>1</v>
      </c>
      <c r="AY7">
        <v>1</v>
      </c>
      <c r="AZ7">
        <v>1</v>
      </c>
      <c r="BA7">
        <v>500</v>
      </c>
    </row>
    <row r="8" spans="1:53" ht="15" x14ac:dyDescent="0.25">
      <c r="A8" s="1">
        <v>1437</v>
      </c>
      <c r="B8">
        <v>5</v>
      </c>
      <c r="C8">
        <v>1</v>
      </c>
      <c r="D8">
        <v>2</v>
      </c>
      <c r="E8">
        <v>2</v>
      </c>
      <c r="F8">
        <v>1</v>
      </c>
      <c r="G8">
        <v>1</v>
      </c>
      <c r="H8">
        <v>5</v>
      </c>
      <c r="I8">
        <v>1</v>
      </c>
      <c r="J8">
        <v>1</v>
      </c>
      <c r="K8">
        <v>2</v>
      </c>
      <c r="L8">
        <v>1</v>
      </c>
      <c r="M8">
        <v>3</v>
      </c>
      <c r="N8">
        <v>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/>
      <c r="W8"/>
      <c r="X8"/>
      <c r="Y8"/>
      <c r="Z8"/>
      <c r="AA8"/>
      <c r="AB8">
        <v>1</v>
      </c>
      <c r="AC8">
        <v>1</v>
      </c>
      <c r="AD8">
        <v>1</v>
      </c>
      <c r="AE8">
        <v>1</v>
      </c>
      <c r="AF8">
        <v>1</v>
      </c>
      <c r="AG8">
        <v>3</v>
      </c>
      <c r="AH8">
        <v>1</v>
      </c>
      <c r="AI8">
        <v>1</v>
      </c>
      <c r="AJ8">
        <v>1</v>
      </c>
      <c r="AK8">
        <v>1</v>
      </c>
      <c r="AL8">
        <v>1</v>
      </c>
      <c r="AM8">
        <v>2</v>
      </c>
      <c r="AN8">
        <v>1</v>
      </c>
      <c r="AO8">
        <v>1</v>
      </c>
      <c r="AP8">
        <v>1</v>
      </c>
      <c r="AQ8">
        <v>1</v>
      </c>
      <c r="AR8">
        <v>5</v>
      </c>
      <c r="AS8">
        <v>1</v>
      </c>
      <c r="AT8">
        <v>1</v>
      </c>
      <c r="AU8">
        <v>2</v>
      </c>
      <c r="AV8">
        <v>1</v>
      </c>
      <c r="AW8">
        <v>1</v>
      </c>
      <c r="AX8">
        <v>1</v>
      </c>
      <c r="AY8">
        <v>3</v>
      </c>
      <c r="AZ8">
        <v>1</v>
      </c>
      <c r="BA8">
        <v>500</v>
      </c>
    </row>
    <row r="9" spans="1:53" ht="15" x14ac:dyDescent="0.25">
      <c r="A9" s="1">
        <v>1438</v>
      </c>
      <c r="B9">
        <v>4</v>
      </c>
      <c r="C9">
        <v>1</v>
      </c>
      <c r="D9">
        <v>2</v>
      </c>
      <c r="E9">
        <v>2</v>
      </c>
      <c r="F9">
        <v>1</v>
      </c>
      <c r="G9">
        <v>1</v>
      </c>
      <c r="H9">
        <v>5</v>
      </c>
      <c r="I9">
        <v>1</v>
      </c>
      <c r="J9">
        <v>1</v>
      </c>
      <c r="K9">
        <v>2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/>
      <c r="W9"/>
      <c r="X9"/>
      <c r="Y9"/>
      <c r="Z9"/>
      <c r="AA9"/>
      <c r="AB9">
        <v>1</v>
      </c>
      <c r="AC9">
        <v>1</v>
      </c>
      <c r="AD9">
        <v>1</v>
      </c>
      <c r="AE9">
        <v>1</v>
      </c>
      <c r="AF9">
        <v>2</v>
      </c>
      <c r="AG9">
        <v>3</v>
      </c>
      <c r="AH9">
        <v>1</v>
      </c>
      <c r="AI9">
        <v>1</v>
      </c>
      <c r="AJ9">
        <v>1</v>
      </c>
      <c r="AK9">
        <v>1</v>
      </c>
      <c r="AL9">
        <v>1</v>
      </c>
      <c r="AM9">
        <v>2</v>
      </c>
      <c r="AN9">
        <v>1</v>
      </c>
      <c r="AO9">
        <v>2</v>
      </c>
      <c r="AP9">
        <v>2</v>
      </c>
      <c r="AQ9">
        <v>1</v>
      </c>
      <c r="AR9">
        <v>5</v>
      </c>
      <c r="AS9">
        <v>1</v>
      </c>
      <c r="AT9">
        <v>1</v>
      </c>
      <c r="AU9">
        <v>2</v>
      </c>
      <c r="AV9">
        <v>2</v>
      </c>
      <c r="AW9">
        <v>1</v>
      </c>
      <c r="AX9">
        <v>1</v>
      </c>
      <c r="AY9">
        <v>1</v>
      </c>
      <c r="AZ9">
        <v>1</v>
      </c>
      <c r="BA9">
        <v>500</v>
      </c>
    </row>
    <row r="10" spans="1:53" ht="15" x14ac:dyDescent="0.25">
      <c r="A10" s="1">
        <v>1439</v>
      </c>
      <c r="B10">
        <v>3</v>
      </c>
      <c r="C10">
        <v>1</v>
      </c>
      <c r="D10">
        <v>4</v>
      </c>
      <c r="E10">
        <v>4</v>
      </c>
      <c r="F10">
        <v>1</v>
      </c>
      <c r="G10">
        <v>1</v>
      </c>
      <c r="H10">
        <v>3</v>
      </c>
      <c r="I10">
        <v>1</v>
      </c>
      <c r="J10">
        <v>1</v>
      </c>
      <c r="K10">
        <v>2</v>
      </c>
      <c r="L10">
        <v>1</v>
      </c>
      <c r="M10">
        <v>1</v>
      </c>
      <c r="N10">
        <v>2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/>
      <c r="W10"/>
      <c r="X10"/>
      <c r="Y10"/>
      <c r="Z10"/>
      <c r="AA10"/>
      <c r="AB10">
        <v>1</v>
      </c>
      <c r="AC10">
        <v>1</v>
      </c>
      <c r="AD10">
        <v>1</v>
      </c>
      <c r="AE10">
        <v>1</v>
      </c>
      <c r="AF10">
        <v>2</v>
      </c>
      <c r="AG10">
        <v>3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2</v>
      </c>
      <c r="AN10">
        <v>1</v>
      </c>
      <c r="AO10">
        <v>2</v>
      </c>
      <c r="AP10">
        <v>2</v>
      </c>
      <c r="AQ10">
        <v>1</v>
      </c>
      <c r="AR10">
        <v>5</v>
      </c>
      <c r="AS10">
        <v>1</v>
      </c>
      <c r="AT10">
        <v>1</v>
      </c>
      <c r="AU10">
        <v>2</v>
      </c>
      <c r="AV10">
        <v>3</v>
      </c>
      <c r="AW10">
        <v>1</v>
      </c>
      <c r="AX10">
        <v>1</v>
      </c>
      <c r="AY10">
        <v>1</v>
      </c>
      <c r="AZ10">
        <v>1</v>
      </c>
      <c r="BA10">
        <v>500</v>
      </c>
    </row>
    <row r="11" spans="1:53" ht="15" x14ac:dyDescent="0.25">
      <c r="A11" s="1">
        <v>1440</v>
      </c>
      <c r="B11">
        <v>2</v>
      </c>
      <c r="C11">
        <v>1</v>
      </c>
      <c r="D11">
        <v>2</v>
      </c>
      <c r="E11">
        <v>2</v>
      </c>
      <c r="F11">
        <v>2</v>
      </c>
      <c r="G11">
        <v>1</v>
      </c>
      <c r="H11">
        <v>5</v>
      </c>
      <c r="I11">
        <v>1</v>
      </c>
      <c r="J11">
        <v>1</v>
      </c>
      <c r="K11">
        <v>2</v>
      </c>
      <c r="L11">
        <v>1</v>
      </c>
      <c r="M11">
        <v>1</v>
      </c>
      <c r="N11">
        <v>2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/>
      <c r="W11"/>
      <c r="X11"/>
      <c r="Y11">
        <v>1</v>
      </c>
      <c r="Z11">
        <v>1</v>
      </c>
      <c r="AA11">
        <v>1</v>
      </c>
      <c r="AB11"/>
      <c r="AC11"/>
      <c r="AD11">
        <v>1</v>
      </c>
      <c r="AE11">
        <v>1</v>
      </c>
      <c r="AF11">
        <v>2</v>
      </c>
      <c r="AG11">
        <v>3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2</v>
      </c>
      <c r="AN11">
        <v>1</v>
      </c>
      <c r="AO11">
        <v>2</v>
      </c>
      <c r="AP11">
        <v>2</v>
      </c>
      <c r="AQ11">
        <v>1</v>
      </c>
      <c r="AR11">
        <v>5</v>
      </c>
      <c r="AS11">
        <v>1</v>
      </c>
      <c r="AT11">
        <v>2</v>
      </c>
      <c r="AU11">
        <v>2</v>
      </c>
      <c r="AV11">
        <v>2</v>
      </c>
      <c r="AW11">
        <v>1</v>
      </c>
      <c r="AX11">
        <v>1</v>
      </c>
      <c r="AY11">
        <v>1</v>
      </c>
      <c r="AZ11">
        <v>1</v>
      </c>
      <c r="BA11">
        <v>500</v>
      </c>
    </row>
    <row r="12" spans="1:53" ht="15" x14ac:dyDescent="0.25">
      <c r="A12" s="1">
        <v>1441</v>
      </c>
      <c r="B12">
        <v>6</v>
      </c>
      <c r="C12">
        <v>1</v>
      </c>
      <c r="D12">
        <v>4</v>
      </c>
      <c r="E12">
        <v>4</v>
      </c>
      <c r="F12">
        <v>1</v>
      </c>
      <c r="G12">
        <v>1</v>
      </c>
      <c r="H12">
        <v>5</v>
      </c>
      <c r="I12">
        <v>1</v>
      </c>
      <c r="J12">
        <v>1</v>
      </c>
      <c r="K12">
        <v>2</v>
      </c>
      <c r="L12">
        <v>1</v>
      </c>
      <c r="M12">
        <v>1</v>
      </c>
      <c r="N12">
        <v>2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/>
      <c r="W12"/>
      <c r="X12"/>
      <c r="Y12"/>
      <c r="Z12"/>
      <c r="AA12"/>
      <c r="AB12">
        <v>1</v>
      </c>
      <c r="AC12">
        <v>1</v>
      </c>
      <c r="AD12">
        <v>1</v>
      </c>
      <c r="AE12">
        <v>1</v>
      </c>
      <c r="AF12">
        <v>1</v>
      </c>
      <c r="AG12">
        <v>3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2</v>
      </c>
      <c r="AN12">
        <v>1</v>
      </c>
      <c r="AO12">
        <v>1</v>
      </c>
      <c r="AP12">
        <v>1</v>
      </c>
      <c r="AQ12">
        <v>1</v>
      </c>
      <c r="AR12">
        <v>5</v>
      </c>
      <c r="AS12">
        <v>1</v>
      </c>
      <c r="AT12">
        <v>1</v>
      </c>
      <c r="AU12">
        <v>2</v>
      </c>
      <c r="AV12">
        <v>1</v>
      </c>
      <c r="AW12">
        <v>1</v>
      </c>
      <c r="AX12">
        <v>1</v>
      </c>
      <c r="AY12">
        <v>3</v>
      </c>
      <c r="AZ12">
        <v>1</v>
      </c>
      <c r="BA12">
        <v>500</v>
      </c>
    </row>
  </sheetData>
  <autoFilter ref="A1:BA1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"/>
  <sheetViews>
    <sheetView topLeftCell="AA1" workbookViewId="0">
      <selection activeCell="D25" sqref="D25"/>
    </sheetView>
  </sheetViews>
  <sheetFormatPr baseColWidth="10" defaultColWidth="4.7109375" defaultRowHeight="12.75" x14ac:dyDescent="0.2"/>
  <cols>
    <col min="1" max="1" width="5" style="139" bestFit="1" customWidth="1"/>
    <col min="2" max="3" width="6.5703125" style="139" bestFit="1" customWidth="1"/>
    <col min="4" max="4" width="6.85546875" style="139" bestFit="1" customWidth="1"/>
    <col min="5" max="5" width="9.5703125" style="139" bestFit="1" customWidth="1"/>
    <col min="6" max="10" width="6.5703125" style="139" bestFit="1" customWidth="1"/>
    <col min="11" max="21" width="7.42578125" style="139" bestFit="1" customWidth="1"/>
    <col min="22" max="26" width="7.42578125" style="140" bestFit="1" customWidth="1"/>
    <col min="27" max="27" width="7.85546875" style="140" bestFit="1" customWidth="1"/>
    <col min="28" max="29" width="7.42578125" style="140" bestFit="1" customWidth="1"/>
    <col min="30" max="30" width="7.42578125" style="139" bestFit="1" customWidth="1"/>
    <col min="31" max="34" width="7.42578125" style="140" bestFit="1" customWidth="1"/>
    <col min="35" max="43" width="7.42578125" style="139" bestFit="1" customWidth="1"/>
    <col min="44" max="44" width="7.42578125" style="140" bestFit="1" customWidth="1"/>
    <col min="45" max="53" width="7.42578125" style="139" bestFit="1" customWidth="1"/>
    <col min="54" max="16384" width="4.7109375" style="139"/>
  </cols>
  <sheetData>
    <row r="1" spans="1:53" s="135" customFormat="1" x14ac:dyDescent="0.2">
      <c r="B1" s="135">
        <v>1</v>
      </c>
      <c r="C1" s="135">
        <v>2</v>
      </c>
      <c r="D1" s="135">
        <v>3</v>
      </c>
      <c r="E1" s="135">
        <v>4</v>
      </c>
      <c r="F1" s="135">
        <v>5</v>
      </c>
      <c r="G1" s="135">
        <v>6</v>
      </c>
      <c r="H1" s="135">
        <v>7</v>
      </c>
      <c r="I1" s="135">
        <v>8</v>
      </c>
      <c r="J1" s="135">
        <v>9</v>
      </c>
      <c r="K1" s="135">
        <v>10</v>
      </c>
      <c r="L1" s="135">
        <v>11</v>
      </c>
      <c r="M1" s="135">
        <v>12</v>
      </c>
      <c r="N1" s="135">
        <v>13</v>
      </c>
      <c r="O1" s="135">
        <v>14</v>
      </c>
      <c r="P1" s="135">
        <v>15</v>
      </c>
      <c r="Q1" s="135">
        <v>16</v>
      </c>
      <c r="R1" s="135">
        <v>17</v>
      </c>
      <c r="S1" s="135">
        <v>18</v>
      </c>
      <c r="T1" s="135">
        <v>19</v>
      </c>
      <c r="U1" s="135">
        <v>20</v>
      </c>
      <c r="V1" s="135">
        <v>21</v>
      </c>
      <c r="W1" s="135">
        <v>22</v>
      </c>
      <c r="X1" s="135">
        <v>23</v>
      </c>
      <c r="Y1" s="135">
        <v>24</v>
      </c>
      <c r="Z1" s="135">
        <v>25</v>
      </c>
      <c r="AA1" s="135">
        <v>26</v>
      </c>
      <c r="AB1" s="135">
        <v>27</v>
      </c>
      <c r="AC1" s="135">
        <v>28</v>
      </c>
      <c r="AD1" s="135">
        <v>29</v>
      </c>
      <c r="AE1" s="135">
        <v>30</v>
      </c>
      <c r="AF1" s="135">
        <v>31</v>
      </c>
      <c r="AG1" s="135">
        <v>32</v>
      </c>
      <c r="AH1" s="135">
        <v>33</v>
      </c>
      <c r="AI1" s="135">
        <v>34</v>
      </c>
      <c r="AJ1" s="135">
        <v>35</v>
      </c>
      <c r="AK1" s="135">
        <v>36</v>
      </c>
      <c r="AL1" s="135">
        <v>37</v>
      </c>
      <c r="AM1" s="135">
        <v>38</v>
      </c>
      <c r="AN1" s="135">
        <v>39</v>
      </c>
      <c r="AO1" s="135">
        <v>40</v>
      </c>
      <c r="AP1" s="135">
        <v>41</v>
      </c>
      <c r="AQ1" s="135">
        <v>42</v>
      </c>
      <c r="AR1" s="135">
        <v>43</v>
      </c>
      <c r="AS1" s="135">
        <v>44</v>
      </c>
      <c r="AT1" s="135">
        <v>45</v>
      </c>
      <c r="AU1" s="135">
        <v>46</v>
      </c>
      <c r="AV1" s="135">
        <v>47</v>
      </c>
      <c r="AW1" s="135">
        <v>48</v>
      </c>
      <c r="AX1" s="135">
        <v>49</v>
      </c>
      <c r="AY1" s="135">
        <v>50</v>
      </c>
      <c r="AZ1" s="135">
        <v>51</v>
      </c>
      <c r="BA1" s="135">
        <v>52</v>
      </c>
    </row>
    <row r="2" spans="1:53" s="136" customFormat="1" x14ac:dyDescent="0.2">
      <c r="B2" s="136" t="s">
        <v>186</v>
      </c>
      <c r="C2" s="136" t="s">
        <v>187</v>
      </c>
      <c r="D2" s="136" t="s">
        <v>242</v>
      </c>
      <c r="E2" s="136" t="s">
        <v>243</v>
      </c>
      <c r="F2" s="136" t="s">
        <v>190</v>
      </c>
      <c r="G2" s="136" t="s">
        <v>191</v>
      </c>
      <c r="H2" s="136" t="s">
        <v>192</v>
      </c>
      <c r="I2" s="136" t="s">
        <v>193</v>
      </c>
      <c r="J2" s="136" t="s">
        <v>194</v>
      </c>
      <c r="K2" s="136" t="s">
        <v>195</v>
      </c>
      <c r="L2" s="136" t="s">
        <v>196</v>
      </c>
      <c r="M2" s="136" t="s">
        <v>241</v>
      </c>
      <c r="N2" s="136" t="s">
        <v>197</v>
      </c>
      <c r="O2" s="136" t="s">
        <v>198</v>
      </c>
      <c r="P2" s="136" t="s">
        <v>239</v>
      </c>
      <c r="Q2" s="136" t="s">
        <v>200</v>
      </c>
      <c r="R2" s="136" t="s">
        <v>201</v>
      </c>
      <c r="S2" s="136" t="s">
        <v>235</v>
      </c>
      <c r="T2" s="136" t="s">
        <v>202</v>
      </c>
      <c r="U2" s="136" t="s">
        <v>203</v>
      </c>
      <c r="V2" s="137" t="s">
        <v>205</v>
      </c>
      <c r="W2" s="137" t="s">
        <v>206</v>
      </c>
      <c r="X2" s="137" t="s">
        <v>207</v>
      </c>
      <c r="Y2" s="137" t="s">
        <v>244</v>
      </c>
      <c r="Z2" s="137" t="s">
        <v>240</v>
      </c>
      <c r="AA2" s="137" t="s">
        <v>210</v>
      </c>
      <c r="AB2" s="137" t="s">
        <v>211</v>
      </c>
      <c r="AC2" s="137" t="s">
        <v>212</v>
      </c>
      <c r="AD2" s="137" t="s">
        <v>213</v>
      </c>
      <c r="AE2" s="137" t="s">
        <v>214</v>
      </c>
      <c r="AF2" s="137" t="s">
        <v>215</v>
      </c>
      <c r="AG2" s="137" t="s">
        <v>216</v>
      </c>
      <c r="AH2" s="137" t="s">
        <v>217</v>
      </c>
      <c r="AI2" s="136" t="s">
        <v>218</v>
      </c>
      <c r="AJ2" s="136" t="s">
        <v>220</v>
      </c>
      <c r="AK2" s="136" t="s">
        <v>237</v>
      </c>
      <c r="AL2" s="136" t="s">
        <v>219</v>
      </c>
      <c r="AM2" s="136" t="s">
        <v>223</v>
      </c>
      <c r="AN2" s="136" t="s">
        <v>222</v>
      </c>
      <c r="AO2" s="136" t="s">
        <v>1</v>
      </c>
      <c r="AP2" s="136" t="s">
        <v>0</v>
      </c>
      <c r="AQ2" s="136" t="s">
        <v>224</v>
      </c>
      <c r="AR2" s="137" t="s">
        <v>226</v>
      </c>
      <c r="AS2" s="136" t="s">
        <v>227</v>
      </c>
      <c r="AT2" s="136" t="s">
        <v>228</v>
      </c>
      <c r="AU2" s="136" t="s">
        <v>229</v>
      </c>
      <c r="AV2" s="137" t="s">
        <v>225</v>
      </c>
      <c r="AW2" s="136" t="s">
        <v>236</v>
      </c>
      <c r="AX2" s="136" t="s">
        <v>231</v>
      </c>
      <c r="AY2" s="138" t="s">
        <v>238</v>
      </c>
      <c r="AZ2" s="136" t="s">
        <v>233</v>
      </c>
      <c r="BA2" s="136" t="s">
        <v>234</v>
      </c>
    </row>
    <row r="3" spans="1:53" x14ac:dyDescent="0.2">
      <c r="A3" s="139">
        <v>1466</v>
      </c>
      <c r="B3" s="141">
        <v>3</v>
      </c>
      <c r="C3" s="141">
        <v>1</v>
      </c>
      <c r="D3" s="141">
        <v>4</v>
      </c>
      <c r="E3" s="141">
        <v>2</v>
      </c>
      <c r="F3" s="141">
        <v>2</v>
      </c>
      <c r="G3" s="141">
        <v>1</v>
      </c>
      <c r="H3" s="141">
        <v>5</v>
      </c>
      <c r="I3" s="141">
        <v>2</v>
      </c>
      <c r="J3" s="141">
        <v>1</v>
      </c>
      <c r="K3" s="141">
        <v>2</v>
      </c>
      <c r="L3" s="141">
        <v>2</v>
      </c>
      <c r="M3" s="141">
        <v>3</v>
      </c>
      <c r="N3" s="141">
        <v>4</v>
      </c>
      <c r="O3" s="141">
        <v>4</v>
      </c>
      <c r="P3" s="141">
        <v>3</v>
      </c>
      <c r="Q3" s="141">
        <v>3</v>
      </c>
      <c r="R3" s="141">
        <v>2</v>
      </c>
      <c r="S3" s="141">
        <v>3</v>
      </c>
      <c r="T3" s="141">
        <v>2</v>
      </c>
      <c r="U3" s="141">
        <v>3</v>
      </c>
      <c r="V3" s="141"/>
      <c r="W3" s="141"/>
      <c r="X3" s="141"/>
      <c r="Y3" s="141">
        <v>3</v>
      </c>
      <c r="Z3" s="141">
        <v>3</v>
      </c>
      <c r="AA3" s="141">
        <v>1</v>
      </c>
      <c r="AB3" s="141"/>
      <c r="AC3" s="141"/>
      <c r="AD3" s="141">
        <v>2</v>
      </c>
      <c r="AE3" s="141">
        <v>2</v>
      </c>
      <c r="AF3" s="141">
        <v>2</v>
      </c>
      <c r="AG3" s="141">
        <v>2</v>
      </c>
      <c r="AH3" s="141">
        <v>3</v>
      </c>
      <c r="AI3" s="141">
        <v>3</v>
      </c>
      <c r="AJ3" s="141">
        <v>3</v>
      </c>
      <c r="AK3" s="141">
        <v>2</v>
      </c>
      <c r="AL3" s="141">
        <v>3</v>
      </c>
      <c r="AM3" s="141">
        <v>1</v>
      </c>
      <c r="AN3" s="141">
        <v>4</v>
      </c>
      <c r="AO3" s="141">
        <v>3</v>
      </c>
      <c r="AP3" s="141">
        <v>3</v>
      </c>
      <c r="AQ3" s="141">
        <v>1</v>
      </c>
      <c r="AR3" s="141">
        <v>4</v>
      </c>
      <c r="AS3" s="141">
        <v>2</v>
      </c>
      <c r="AT3" s="141">
        <v>2</v>
      </c>
      <c r="AU3" s="141">
        <v>1</v>
      </c>
      <c r="AV3" s="141">
        <v>2</v>
      </c>
      <c r="AW3" s="141">
        <v>1</v>
      </c>
      <c r="AX3" s="141">
        <v>2</v>
      </c>
      <c r="AY3" s="141">
        <v>4</v>
      </c>
      <c r="AZ3" s="141">
        <v>3</v>
      </c>
      <c r="BA3" s="141">
        <v>500</v>
      </c>
    </row>
    <row r="4" spans="1:53" x14ac:dyDescent="0.2">
      <c r="A4" s="139">
        <v>1467</v>
      </c>
      <c r="B4" s="141">
        <v>2</v>
      </c>
      <c r="C4" s="141">
        <v>1</v>
      </c>
      <c r="D4" s="141">
        <v>3</v>
      </c>
      <c r="E4" s="141">
        <v>2</v>
      </c>
      <c r="F4" s="141">
        <v>1</v>
      </c>
      <c r="G4" s="141">
        <v>1</v>
      </c>
      <c r="H4" s="141">
        <v>4</v>
      </c>
      <c r="I4" s="141">
        <v>1</v>
      </c>
      <c r="J4" s="141">
        <v>1</v>
      </c>
      <c r="K4" s="141">
        <v>2</v>
      </c>
      <c r="L4" s="141">
        <v>1</v>
      </c>
      <c r="M4" s="141">
        <v>3</v>
      </c>
      <c r="N4" s="141">
        <v>2</v>
      </c>
      <c r="O4" s="141">
        <v>1</v>
      </c>
      <c r="P4" s="141">
        <v>2</v>
      </c>
      <c r="Q4" s="141">
        <v>1</v>
      </c>
      <c r="R4" s="141">
        <v>2</v>
      </c>
      <c r="S4" s="141">
        <v>1</v>
      </c>
      <c r="T4" s="141">
        <v>2</v>
      </c>
      <c r="U4" s="141">
        <v>2</v>
      </c>
      <c r="V4" s="141"/>
      <c r="W4" s="141"/>
      <c r="X4" s="141"/>
      <c r="Y4" s="141"/>
      <c r="Z4" s="141"/>
      <c r="AA4" s="141"/>
      <c r="AB4" s="141">
        <v>2</v>
      </c>
      <c r="AC4" s="141">
        <v>2</v>
      </c>
      <c r="AD4" s="141">
        <v>1</v>
      </c>
      <c r="AE4" s="141">
        <v>1</v>
      </c>
      <c r="AF4" s="141">
        <v>1</v>
      </c>
      <c r="AG4" s="141">
        <v>3</v>
      </c>
      <c r="AH4" s="141">
        <v>1</v>
      </c>
      <c r="AI4" s="141">
        <v>1</v>
      </c>
      <c r="AJ4" s="141">
        <v>1</v>
      </c>
      <c r="AK4" s="141">
        <v>1</v>
      </c>
      <c r="AL4" s="141">
        <v>1</v>
      </c>
      <c r="AM4" s="141">
        <v>1</v>
      </c>
      <c r="AN4" s="141">
        <v>1</v>
      </c>
      <c r="AO4" s="141">
        <v>1</v>
      </c>
      <c r="AP4" s="141">
        <v>1</v>
      </c>
      <c r="AQ4" s="141">
        <v>1</v>
      </c>
      <c r="AR4" s="141">
        <v>5</v>
      </c>
      <c r="AS4" s="141">
        <v>2</v>
      </c>
      <c r="AT4" s="141">
        <v>1</v>
      </c>
      <c r="AU4" s="141">
        <v>2</v>
      </c>
      <c r="AV4" s="141">
        <v>1</v>
      </c>
      <c r="AW4" s="141">
        <v>1</v>
      </c>
      <c r="AX4" s="141">
        <v>1</v>
      </c>
      <c r="AY4" s="141">
        <v>1</v>
      </c>
      <c r="AZ4" s="141">
        <v>1</v>
      </c>
      <c r="BA4" s="141">
        <v>500</v>
      </c>
    </row>
    <row r="5" spans="1:53" x14ac:dyDescent="0.2">
      <c r="A5" s="139">
        <v>1468</v>
      </c>
      <c r="B5" s="141">
        <v>4</v>
      </c>
      <c r="C5" s="141">
        <v>2</v>
      </c>
      <c r="D5" s="141">
        <v>6</v>
      </c>
      <c r="E5" s="141">
        <v>6</v>
      </c>
      <c r="F5" s="141">
        <v>2</v>
      </c>
      <c r="G5" s="141">
        <v>1</v>
      </c>
      <c r="H5" s="141">
        <v>5</v>
      </c>
      <c r="I5" s="141">
        <v>1</v>
      </c>
      <c r="J5" s="141">
        <v>1</v>
      </c>
      <c r="K5" s="141">
        <v>2</v>
      </c>
      <c r="L5" s="141">
        <v>1</v>
      </c>
      <c r="M5" s="141">
        <v>1</v>
      </c>
      <c r="N5" s="141">
        <v>1</v>
      </c>
      <c r="O5" s="141">
        <v>1</v>
      </c>
      <c r="P5" s="141">
        <v>1</v>
      </c>
      <c r="Q5" s="141">
        <v>1</v>
      </c>
      <c r="R5" s="141">
        <v>1</v>
      </c>
      <c r="S5" s="141">
        <v>1</v>
      </c>
      <c r="T5" s="141">
        <v>1</v>
      </c>
      <c r="U5" s="141">
        <v>1</v>
      </c>
      <c r="V5" s="141"/>
      <c r="W5" s="141"/>
      <c r="X5" s="141"/>
      <c r="Y5" s="141">
        <v>1</v>
      </c>
      <c r="Z5" s="141">
        <v>1</v>
      </c>
      <c r="AA5" s="141">
        <v>1</v>
      </c>
      <c r="AB5" s="141"/>
      <c r="AC5" s="141"/>
      <c r="AD5" s="141">
        <v>1</v>
      </c>
      <c r="AE5" s="141">
        <v>1</v>
      </c>
      <c r="AF5" s="141">
        <v>1</v>
      </c>
      <c r="AG5" s="141">
        <v>1</v>
      </c>
      <c r="AH5" s="141">
        <v>1</v>
      </c>
      <c r="AI5" s="141">
        <v>1</v>
      </c>
      <c r="AJ5" s="141">
        <v>1</v>
      </c>
      <c r="AK5" s="141">
        <v>1</v>
      </c>
      <c r="AL5" s="141">
        <v>1</v>
      </c>
      <c r="AM5" s="141">
        <v>1</v>
      </c>
      <c r="AN5" s="141">
        <v>1</v>
      </c>
      <c r="AO5" s="141">
        <v>1</v>
      </c>
      <c r="AP5" s="141">
        <v>1</v>
      </c>
      <c r="AQ5" s="141">
        <v>1</v>
      </c>
      <c r="AR5" s="141">
        <v>1</v>
      </c>
      <c r="AS5" s="141">
        <v>1</v>
      </c>
      <c r="AT5" s="141">
        <v>1</v>
      </c>
      <c r="AU5" s="141">
        <v>1</v>
      </c>
      <c r="AV5" s="141">
        <v>1</v>
      </c>
      <c r="AW5" s="141">
        <v>1</v>
      </c>
      <c r="AX5" s="141">
        <v>1</v>
      </c>
      <c r="AY5" s="141">
        <v>1</v>
      </c>
      <c r="AZ5" s="141">
        <v>1</v>
      </c>
      <c r="BA5" s="141">
        <v>500</v>
      </c>
    </row>
    <row r="6" spans="1:53" x14ac:dyDescent="0.2">
      <c r="A6" s="139">
        <v>1469</v>
      </c>
      <c r="B6" s="141">
        <v>3</v>
      </c>
      <c r="C6" s="141">
        <v>2</v>
      </c>
      <c r="D6" s="141">
        <v>1</v>
      </c>
      <c r="E6" s="141">
        <v>1</v>
      </c>
      <c r="F6" s="141">
        <v>2</v>
      </c>
      <c r="G6" s="141">
        <v>1</v>
      </c>
      <c r="H6" s="141">
        <v>3</v>
      </c>
      <c r="I6" s="141">
        <v>1</v>
      </c>
      <c r="J6" s="141">
        <v>1</v>
      </c>
      <c r="K6" s="141">
        <v>2</v>
      </c>
      <c r="L6" s="141">
        <v>1</v>
      </c>
      <c r="M6" s="141">
        <v>1</v>
      </c>
      <c r="N6" s="141">
        <v>1</v>
      </c>
      <c r="O6" s="141">
        <v>1</v>
      </c>
      <c r="P6" s="141">
        <v>1</v>
      </c>
      <c r="Q6" s="141">
        <v>1</v>
      </c>
      <c r="R6" s="141">
        <v>1</v>
      </c>
      <c r="S6" s="141">
        <v>1</v>
      </c>
      <c r="T6" s="141">
        <v>1</v>
      </c>
      <c r="U6" s="141">
        <v>1</v>
      </c>
      <c r="V6" s="141"/>
      <c r="W6" s="141"/>
      <c r="X6" s="141"/>
      <c r="Y6" s="141">
        <v>1</v>
      </c>
      <c r="Z6" s="141">
        <v>1</v>
      </c>
      <c r="AA6" s="141">
        <v>1</v>
      </c>
      <c r="AB6" s="141"/>
      <c r="AC6" s="141"/>
      <c r="AD6" s="141">
        <v>1</v>
      </c>
      <c r="AE6" s="141">
        <v>1</v>
      </c>
      <c r="AF6" s="141">
        <v>1</v>
      </c>
      <c r="AG6" s="141">
        <v>1</v>
      </c>
      <c r="AH6" s="141">
        <v>1</v>
      </c>
      <c r="AI6" s="141">
        <v>1</v>
      </c>
      <c r="AJ6" s="141">
        <v>1</v>
      </c>
      <c r="AK6" s="141">
        <v>1</v>
      </c>
      <c r="AL6" s="141">
        <v>1</v>
      </c>
      <c r="AM6" s="141">
        <v>2</v>
      </c>
      <c r="AN6" s="141">
        <v>1</v>
      </c>
      <c r="AO6" s="141">
        <v>1</v>
      </c>
      <c r="AP6" s="141">
        <v>1</v>
      </c>
      <c r="AQ6" s="141">
        <v>1</v>
      </c>
      <c r="AR6" s="141">
        <v>1</v>
      </c>
      <c r="AS6" s="141">
        <v>1</v>
      </c>
      <c r="AT6" s="141">
        <v>1</v>
      </c>
      <c r="AU6" s="141">
        <v>1</v>
      </c>
      <c r="AV6" s="141">
        <v>1</v>
      </c>
      <c r="AW6" s="141">
        <v>1</v>
      </c>
      <c r="AX6" s="141">
        <v>1</v>
      </c>
      <c r="AY6" s="141">
        <v>1</v>
      </c>
      <c r="AZ6" s="141">
        <v>1</v>
      </c>
      <c r="BA6" s="141">
        <v>500</v>
      </c>
    </row>
    <row r="7" spans="1:53" x14ac:dyDescent="0.2">
      <c r="A7" s="139">
        <v>1470</v>
      </c>
      <c r="B7" s="141">
        <v>3</v>
      </c>
      <c r="C7" s="141">
        <v>1</v>
      </c>
      <c r="D7" s="141">
        <v>3</v>
      </c>
      <c r="E7" s="141">
        <v>3</v>
      </c>
      <c r="F7" s="141">
        <v>2</v>
      </c>
      <c r="G7" s="141">
        <v>1</v>
      </c>
      <c r="H7" s="141">
        <v>4</v>
      </c>
      <c r="I7" s="141">
        <v>1</v>
      </c>
      <c r="J7" s="141">
        <v>1</v>
      </c>
      <c r="K7" s="141">
        <v>2</v>
      </c>
      <c r="L7" s="141">
        <v>1</v>
      </c>
      <c r="M7" s="141">
        <v>1</v>
      </c>
      <c r="N7" s="141">
        <v>2</v>
      </c>
      <c r="O7" s="141">
        <v>1</v>
      </c>
      <c r="P7" s="141">
        <v>1</v>
      </c>
      <c r="Q7" s="141">
        <v>1</v>
      </c>
      <c r="R7" s="141">
        <v>1</v>
      </c>
      <c r="S7" s="141">
        <v>1</v>
      </c>
      <c r="T7" s="141">
        <v>1</v>
      </c>
      <c r="U7" s="141">
        <v>2</v>
      </c>
      <c r="V7" s="141"/>
      <c r="W7" s="141"/>
      <c r="X7" s="141"/>
      <c r="Y7" s="141">
        <v>1</v>
      </c>
      <c r="Z7" s="141">
        <v>1</v>
      </c>
      <c r="AA7" s="141">
        <v>2</v>
      </c>
      <c r="AB7" s="141"/>
      <c r="AC7" s="141"/>
      <c r="AD7" s="141">
        <v>2</v>
      </c>
      <c r="AE7" s="141">
        <v>1</v>
      </c>
      <c r="AF7" s="141">
        <v>1</v>
      </c>
      <c r="AG7" s="141">
        <v>1</v>
      </c>
      <c r="AH7" s="141">
        <v>1</v>
      </c>
      <c r="AI7" s="141">
        <v>1</v>
      </c>
      <c r="AJ7" s="141">
        <v>2</v>
      </c>
      <c r="AK7" s="141">
        <v>1</v>
      </c>
      <c r="AL7" s="141">
        <v>2</v>
      </c>
      <c r="AM7" s="141">
        <v>1</v>
      </c>
      <c r="AN7" s="141">
        <v>1</v>
      </c>
      <c r="AO7" s="141">
        <v>1</v>
      </c>
      <c r="AP7" s="141">
        <v>1</v>
      </c>
      <c r="AQ7" s="141">
        <v>1</v>
      </c>
      <c r="AR7" s="141">
        <v>2</v>
      </c>
      <c r="AS7" s="141">
        <v>2</v>
      </c>
      <c r="AT7" s="141">
        <v>1</v>
      </c>
      <c r="AU7" s="141">
        <v>2</v>
      </c>
      <c r="AV7" s="141">
        <v>2</v>
      </c>
      <c r="AW7" s="141">
        <v>1</v>
      </c>
      <c r="AX7" s="141">
        <v>1</v>
      </c>
      <c r="AY7" s="141">
        <v>1</v>
      </c>
      <c r="AZ7" s="141">
        <v>1</v>
      </c>
      <c r="BA7" s="141">
        <v>500</v>
      </c>
    </row>
    <row r="8" spans="1:53" x14ac:dyDescent="0.2">
      <c r="A8" s="139">
        <v>1471</v>
      </c>
      <c r="B8" s="141">
        <v>4</v>
      </c>
      <c r="C8" s="141">
        <v>1</v>
      </c>
      <c r="D8" s="141">
        <v>3</v>
      </c>
      <c r="E8" s="141">
        <v>4</v>
      </c>
      <c r="F8" s="141">
        <v>2</v>
      </c>
      <c r="G8" s="141">
        <v>1</v>
      </c>
      <c r="H8" s="141">
        <v>5</v>
      </c>
      <c r="I8" s="141">
        <v>2</v>
      </c>
      <c r="J8" s="141">
        <v>1</v>
      </c>
      <c r="K8" s="141">
        <v>2</v>
      </c>
      <c r="L8" s="141">
        <v>1</v>
      </c>
      <c r="M8" s="141">
        <v>1</v>
      </c>
      <c r="N8" s="141">
        <v>1</v>
      </c>
      <c r="O8" s="141">
        <v>1</v>
      </c>
      <c r="P8" s="141">
        <v>1</v>
      </c>
      <c r="Q8" s="141">
        <v>1</v>
      </c>
      <c r="R8" s="141">
        <v>1</v>
      </c>
      <c r="S8" s="141">
        <v>2</v>
      </c>
      <c r="T8" s="141">
        <v>1</v>
      </c>
      <c r="U8" s="141">
        <v>1</v>
      </c>
      <c r="V8" s="141"/>
      <c r="W8" s="141"/>
      <c r="X8" s="141"/>
      <c r="Y8" s="141">
        <v>1</v>
      </c>
      <c r="Z8" s="141">
        <v>1</v>
      </c>
      <c r="AA8" s="141">
        <v>1</v>
      </c>
      <c r="AB8" s="141"/>
      <c r="AC8" s="141"/>
      <c r="AD8" s="141">
        <v>1</v>
      </c>
      <c r="AE8" s="141">
        <v>1</v>
      </c>
      <c r="AF8" s="141">
        <v>1</v>
      </c>
      <c r="AG8" s="141">
        <v>1</v>
      </c>
      <c r="AH8" s="141">
        <v>1</v>
      </c>
      <c r="AI8" s="141">
        <v>2</v>
      </c>
      <c r="AJ8" s="141">
        <v>1</v>
      </c>
      <c r="AK8" s="141">
        <v>1</v>
      </c>
      <c r="AL8" s="141">
        <v>1</v>
      </c>
      <c r="AM8" s="141">
        <v>2</v>
      </c>
      <c r="AN8" s="141">
        <v>1</v>
      </c>
      <c r="AO8" s="141">
        <v>1</v>
      </c>
      <c r="AP8" s="141">
        <v>1</v>
      </c>
      <c r="AQ8" s="141">
        <v>1</v>
      </c>
      <c r="AR8" s="141">
        <v>2</v>
      </c>
      <c r="AS8" s="141">
        <v>2</v>
      </c>
      <c r="AT8" s="141">
        <v>1</v>
      </c>
      <c r="AU8" s="141">
        <v>2</v>
      </c>
      <c r="AV8" s="141">
        <v>1</v>
      </c>
      <c r="AW8" s="141">
        <v>1</v>
      </c>
      <c r="AX8" s="141">
        <v>1</v>
      </c>
      <c r="AY8" s="141">
        <v>1</v>
      </c>
      <c r="AZ8" s="141">
        <v>1</v>
      </c>
      <c r="BA8" s="141">
        <v>500</v>
      </c>
    </row>
    <row r="9" spans="1:53" x14ac:dyDescent="0.2">
      <c r="A9" s="139">
        <v>1472</v>
      </c>
      <c r="B9" s="141">
        <v>3</v>
      </c>
      <c r="C9" s="141">
        <v>1</v>
      </c>
      <c r="D9" s="141">
        <v>4</v>
      </c>
      <c r="E9" s="141">
        <v>4</v>
      </c>
      <c r="F9" s="141">
        <v>2</v>
      </c>
      <c r="G9" s="141">
        <v>1</v>
      </c>
      <c r="H9" s="141">
        <v>4</v>
      </c>
      <c r="I9" s="141">
        <v>2</v>
      </c>
      <c r="J9" s="141">
        <v>1</v>
      </c>
      <c r="K9" s="141">
        <v>2</v>
      </c>
      <c r="L9" s="141">
        <v>1</v>
      </c>
      <c r="M9" s="141">
        <v>1</v>
      </c>
      <c r="N9" s="141">
        <v>1</v>
      </c>
      <c r="O9" s="141">
        <v>1</v>
      </c>
      <c r="P9" s="141">
        <v>1</v>
      </c>
      <c r="Q9" s="141">
        <v>1</v>
      </c>
      <c r="R9" s="141">
        <v>1</v>
      </c>
      <c r="S9" s="141">
        <v>2</v>
      </c>
      <c r="T9" s="141">
        <v>1</v>
      </c>
      <c r="U9" s="141">
        <v>2</v>
      </c>
      <c r="V9" s="141"/>
      <c r="W9" s="141"/>
      <c r="X9" s="141"/>
      <c r="Y9" s="141">
        <v>1</v>
      </c>
      <c r="Z9" s="141">
        <v>1</v>
      </c>
      <c r="AA9" s="141">
        <v>2</v>
      </c>
      <c r="AB9" s="141"/>
      <c r="AC9" s="141"/>
      <c r="AD9" s="141">
        <v>1</v>
      </c>
      <c r="AE9" s="141">
        <v>1</v>
      </c>
      <c r="AF9" s="141">
        <v>1</v>
      </c>
      <c r="AG9" s="141">
        <v>2</v>
      </c>
      <c r="AH9" s="141">
        <v>1</v>
      </c>
      <c r="AI9" s="141">
        <v>1</v>
      </c>
      <c r="AJ9" s="141">
        <v>1</v>
      </c>
      <c r="AK9" s="141">
        <v>2</v>
      </c>
      <c r="AL9" s="141">
        <v>1</v>
      </c>
      <c r="AM9" s="141">
        <v>2</v>
      </c>
      <c r="AN9" s="141">
        <v>1</v>
      </c>
      <c r="AO9" s="141">
        <v>1</v>
      </c>
      <c r="AP9" s="141">
        <v>1</v>
      </c>
      <c r="AQ9" s="141">
        <v>2</v>
      </c>
      <c r="AR9" s="141">
        <v>5</v>
      </c>
      <c r="AS9" s="141">
        <v>2</v>
      </c>
      <c r="AT9" s="141">
        <v>1</v>
      </c>
      <c r="AU9" s="141">
        <v>2</v>
      </c>
      <c r="AV9" s="141">
        <v>1</v>
      </c>
      <c r="AW9" s="141">
        <v>1</v>
      </c>
      <c r="AX9" s="141">
        <v>1</v>
      </c>
      <c r="AY9" s="141">
        <v>1</v>
      </c>
      <c r="AZ9" s="141">
        <v>1</v>
      </c>
      <c r="BA9" s="141">
        <v>500</v>
      </c>
    </row>
    <row r="10" spans="1:53" x14ac:dyDescent="0.2">
      <c r="A10" s="139">
        <v>1473</v>
      </c>
      <c r="B10" s="141">
        <v>4</v>
      </c>
      <c r="C10" s="141">
        <v>1</v>
      </c>
      <c r="D10" s="141">
        <v>5</v>
      </c>
      <c r="E10" s="141">
        <v>5</v>
      </c>
      <c r="F10" s="141">
        <v>2</v>
      </c>
      <c r="G10" s="141">
        <v>1</v>
      </c>
      <c r="H10" s="141">
        <v>3</v>
      </c>
      <c r="I10" s="141">
        <v>2</v>
      </c>
      <c r="J10" s="141">
        <v>1</v>
      </c>
      <c r="K10" s="141">
        <v>2</v>
      </c>
      <c r="L10" s="141">
        <v>1</v>
      </c>
      <c r="M10" s="141">
        <v>1</v>
      </c>
      <c r="N10" s="141">
        <v>1</v>
      </c>
      <c r="O10" s="141">
        <v>1</v>
      </c>
      <c r="P10" s="141">
        <v>1</v>
      </c>
      <c r="Q10" s="141">
        <v>1</v>
      </c>
      <c r="R10" s="141">
        <v>1</v>
      </c>
      <c r="S10" s="141">
        <v>1</v>
      </c>
      <c r="T10" s="141">
        <v>1</v>
      </c>
      <c r="U10" s="141">
        <v>1</v>
      </c>
      <c r="V10" s="141"/>
      <c r="W10" s="141"/>
      <c r="X10" s="141"/>
      <c r="Y10" s="141">
        <v>1</v>
      </c>
      <c r="Z10" s="141">
        <v>1</v>
      </c>
      <c r="AA10" s="141">
        <v>1</v>
      </c>
      <c r="AB10" s="141"/>
      <c r="AC10" s="141"/>
      <c r="AD10" s="141">
        <v>1</v>
      </c>
      <c r="AE10" s="141">
        <v>1</v>
      </c>
      <c r="AF10" s="141">
        <v>1</v>
      </c>
      <c r="AG10" s="141">
        <v>1</v>
      </c>
      <c r="AH10" s="141">
        <v>1</v>
      </c>
      <c r="AI10" s="141">
        <v>1</v>
      </c>
      <c r="AJ10" s="141">
        <v>1</v>
      </c>
      <c r="AK10" s="141">
        <v>1</v>
      </c>
      <c r="AL10" s="141">
        <v>1</v>
      </c>
      <c r="AM10" s="141">
        <v>2</v>
      </c>
      <c r="AN10" s="141">
        <v>1</v>
      </c>
      <c r="AO10" s="141">
        <v>1</v>
      </c>
      <c r="AP10" s="141">
        <v>2</v>
      </c>
      <c r="AQ10" s="141">
        <v>1</v>
      </c>
      <c r="AR10" s="141">
        <v>5</v>
      </c>
      <c r="AS10" s="141">
        <v>1</v>
      </c>
      <c r="AT10" s="141">
        <v>1</v>
      </c>
      <c r="AU10" s="141">
        <v>2</v>
      </c>
      <c r="AV10" s="141">
        <v>1</v>
      </c>
      <c r="AW10" s="141">
        <v>1</v>
      </c>
      <c r="AX10" s="141">
        <v>1</v>
      </c>
      <c r="AY10" s="141">
        <v>1</v>
      </c>
      <c r="AZ10" s="141">
        <v>1</v>
      </c>
      <c r="BA10" s="141">
        <v>500</v>
      </c>
    </row>
    <row r="11" spans="1:53" x14ac:dyDescent="0.2">
      <c r="A11" s="139">
        <v>1474</v>
      </c>
      <c r="B11" s="141">
        <v>3</v>
      </c>
      <c r="C11" s="141">
        <v>1</v>
      </c>
      <c r="D11" s="141">
        <v>2</v>
      </c>
      <c r="E11" s="141">
        <v>2</v>
      </c>
      <c r="F11" s="141">
        <v>2</v>
      </c>
      <c r="G11" s="141">
        <v>1</v>
      </c>
      <c r="H11" s="141">
        <v>3</v>
      </c>
      <c r="I11" s="141">
        <v>2</v>
      </c>
      <c r="J11" s="141">
        <v>1</v>
      </c>
      <c r="K11" s="141">
        <v>2</v>
      </c>
      <c r="L11" s="141">
        <v>1</v>
      </c>
      <c r="M11" s="141">
        <v>3</v>
      </c>
      <c r="N11" s="141">
        <v>1</v>
      </c>
      <c r="O11" s="141">
        <v>1</v>
      </c>
      <c r="P11" s="141">
        <v>1</v>
      </c>
      <c r="Q11" s="141">
        <v>1</v>
      </c>
      <c r="R11" s="141">
        <v>2</v>
      </c>
      <c r="S11" s="141">
        <v>2</v>
      </c>
      <c r="T11" s="141">
        <v>1</v>
      </c>
      <c r="U11" s="141">
        <v>1</v>
      </c>
      <c r="V11" s="141"/>
      <c r="W11" s="141"/>
      <c r="X11" s="141"/>
      <c r="Y11" s="141">
        <v>2</v>
      </c>
      <c r="Z11" s="141">
        <v>1</v>
      </c>
      <c r="AA11" s="141">
        <v>1</v>
      </c>
      <c r="AB11" s="141"/>
      <c r="AC11" s="141"/>
      <c r="AD11" s="141">
        <v>1</v>
      </c>
      <c r="AE11" s="141">
        <v>1</v>
      </c>
      <c r="AF11" s="141">
        <v>1</v>
      </c>
      <c r="AG11" s="141">
        <v>4</v>
      </c>
      <c r="AH11" s="141">
        <v>1</v>
      </c>
      <c r="AI11" s="141">
        <v>1</v>
      </c>
      <c r="AJ11" s="141">
        <v>1</v>
      </c>
      <c r="AK11" s="141">
        <v>1</v>
      </c>
      <c r="AL11" s="141">
        <v>1</v>
      </c>
      <c r="AM11" s="141">
        <v>2</v>
      </c>
      <c r="AN11" s="141">
        <v>1</v>
      </c>
      <c r="AO11" s="141">
        <v>1</v>
      </c>
      <c r="AP11" s="141">
        <v>1</v>
      </c>
      <c r="AQ11" s="141">
        <v>1</v>
      </c>
      <c r="AR11" s="141">
        <v>4</v>
      </c>
      <c r="AS11" s="141">
        <v>2</v>
      </c>
      <c r="AT11" s="141">
        <v>1</v>
      </c>
      <c r="AU11" s="141">
        <v>2</v>
      </c>
      <c r="AV11" s="141">
        <v>1</v>
      </c>
      <c r="AW11" s="141">
        <v>1</v>
      </c>
      <c r="AX11" s="141">
        <v>1</v>
      </c>
      <c r="AY11" s="141">
        <v>1</v>
      </c>
      <c r="AZ11" s="141">
        <v>1</v>
      </c>
      <c r="BA11" s="141">
        <v>500</v>
      </c>
    </row>
    <row r="12" spans="1:53" x14ac:dyDescent="0.2">
      <c r="A12" s="139">
        <v>1475</v>
      </c>
      <c r="B12" s="141">
        <v>5</v>
      </c>
      <c r="C12" s="141">
        <v>1</v>
      </c>
      <c r="D12" s="141">
        <v>7</v>
      </c>
      <c r="E12" s="141">
        <v>7</v>
      </c>
      <c r="F12" s="141">
        <v>2</v>
      </c>
      <c r="G12" s="141">
        <v>1</v>
      </c>
      <c r="H12" s="141">
        <v>6</v>
      </c>
      <c r="I12" s="141">
        <v>1</v>
      </c>
      <c r="J12" s="141">
        <v>1</v>
      </c>
      <c r="K12" s="141">
        <v>2</v>
      </c>
      <c r="L12" s="141">
        <v>1</v>
      </c>
      <c r="M12" s="141">
        <v>1</v>
      </c>
      <c r="N12" s="141">
        <v>3</v>
      </c>
      <c r="O12" s="141">
        <v>1</v>
      </c>
      <c r="P12" s="141">
        <v>1</v>
      </c>
      <c r="Q12" s="141">
        <v>2</v>
      </c>
      <c r="R12" s="141">
        <v>1</v>
      </c>
      <c r="S12" s="141">
        <v>1</v>
      </c>
      <c r="T12" s="141">
        <v>1</v>
      </c>
      <c r="U12" s="141">
        <v>1</v>
      </c>
      <c r="V12" s="141"/>
      <c r="W12" s="141"/>
      <c r="X12" s="141"/>
      <c r="Y12" s="141">
        <v>1</v>
      </c>
      <c r="Z12" s="141">
        <v>1</v>
      </c>
      <c r="AA12" s="141">
        <v>1</v>
      </c>
      <c r="AB12" s="141"/>
      <c r="AC12" s="141"/>
      <c r="AD12" s="141">
        <v>1</v>
      </c>
      <c r="AE12" s="141">
        <v>1</v>
      </c>
      <c r="AF12" s="141">
        <v>1</v>
      </c>
      <c r="AG12" s="141">
        <v>2</v>
      </c>
      <c r="AH12" s="141">
        <v>1</v>
      </c>
      <c r="AI12" s="141">
        <v>1</v>
      </c>
      <c r="AJ12" s="141">
        <v>1</v>
      </c>
      <c r="AK12" s="141">
        <v>1</v>
      </c>
      <c r="AL12" s="141">
        <v>1</v>
      </c>
      <c r="AM12" s="141">
        <v>2</v>
      </c>
      <c r="AN12" s="141">
        <v>1</v>
      </c>
      <c r="AO12" s="141">
        <v>1</v>
      </c>
      <c r="AP12" s="141">
        <v>1</v>
      </c>
      <c r="AQ12" s="141">
        <v>1</v>
      </c>
      <c r="AR12" s="141">
        <v>5</v>
      </c>
      <c r="AS12" s="141">
        <v>1</v>
      </c>
      <c r="AT12" s="141">
        <v>1</v>
      </c>
      <c r="AU12" s="141">
        <v>2</v>
      </c>
      <c r="AV12" s="141">
        <v>1</v>
      </c>
      <c r="AW12" s="141">
        <v>1</v>
      </c>
      <c r="AX12" s="141">
        <v>1</v>
      </c>
      <c r="AY12" s="141">
        <v>1</v>
      </c>
      <c r="AZ12" s="141">
        <v>1</v>
      </c>
      <c r="BA12" s="141">
        <v>500</v>
      </c>
    </row>
    <row r="13" spans="1:53" x14ac:dyDescent="0.2">
      <c r="A13" s="139">
        <v>1476</v>
      </c>
      <c r="B13" s="141">
        <v>2</v>
      </c>
      <c r="C13" s="141">
        <v>1</v>
      </c>
      <c r="D13" s="141">
        <v>2</v>
      </c>
      <c r="E13" s="141">
        <v>2</v>
      </c>
      <c r="F13" s="141">
        <v>1</v>
      </c>
      <c r="G13" s="141">
        <v>1</v>
      </c>
      <c r="H13" s="141">
        <v>4</v>
      </c>
      <c r="I13" s="141">
        <v>1</v>
      </c>
      <c r="J13" s="141">
        <v>1</v>
      </c>
      <c r="K13" s="141">
        <v>2</v>
      </c>
      <c r="L13" s="141">
        <v>1</v>
      </c>
      <c r="M13" s="141">
        <v>1</v>
      </c>
      <c r="N13" s="141">
        <v>1</v>
      </c>
      <c r="O13" s="141">
        <v>1</v>
      </c>
      <c r="P13" s="141">
        <v>1</v>
      </c>
      <c r="Q13" s="141">
        <v>1</v>
      </c>
      <c r="R13" s="141">
        <v>1</v>
      </c>
      <c r="S13" s="141">
        <v>1</v>
      </c>
      <c r="T13" s="141">
        <v>1</v>
      </c>
      <c r="U13" s="141">
        <v>1</v>
      </c>
      <c r="V13" s="141"/>
      <c r="W13" s="141"/>
      <c r="X13" s="141"/>
      <c r="Y13" s="141"/>
      <c r="Z13" s="141"/>
      <c r="AA13" s="141"/>
      <c r="AB13" s="141">
        <v>1</v>
      </c>
      <c r="AC13" s="141">
        <v>1</v>
      </c>
      <c r="AD13" s="141">
        <v>1</v>
      </c>
      <c r="AE13" s="141">
        <v>1</v>
      </c>
      <c r="AF13" s="141">
        <v>1</v>
      </c>
      <c r="AG13" s="141">
        <v>1</v>
      </c>
      <c r="AH13" s="141">
        <v>1</v>
      </c>
      <c r="AI13" s="141">
        <v>1</v>
      </c>
      <c r="AJ13" s="141">
        <v>1</v>
      </c>
      <c r="AK13" s="141">
        <v>1</v>
      </c>
      <c r="AL13" s="141">
        <v>1</v>
      </c>
      <c r="AM13" s="141">
        <v>2</v>
      </c>
      <c r="AN13" s="141">
        <v>1</v>
      </c>
      <c r="AO13" s="141">
        <v>1</v>
      </c>
      <c r="AP13" s="141">
        <v>1</v>
      </c>
      <c r="AQ13" s="141">
        <v>1</v>
      </c>
      <c r="AR13" s="141">
        <v>1</v>
      </c>
      <c r="AS13" s="141">
        <v>1</v>
      </c>
      <c r="AT13" s="141">
        <v>1</v>
      </c>
      <c r="AU13" s="141">
        <v>1</v>
      </c>
      <c r="AV13" s="141">
        <v>1</v>
      </c>
      <c r="AW13" s="141">
        <v>1</v>
      </c>
      <c r="AX13" s="141">
        <v>1</v>
      </c>
      <c r="AY13" s="141">
        <v>1</v>
      </c>
      <c r="AZ13" s="141">
        <v>1</v>
      </c>
      <c r="BA13" s="141">
        <v>500</v>
      </c>
    </row>
    <row r="14" spans="1:53" x14ac:dyDescent="0.2">
      <c r="A14" s="139">
        <v>1477</v>
      </c>
      <c r="B14" s="141">
        <v>3</v>
      </c>
      <c r="C14" s="141">
        <v>1</v>
      </c>
      <c r="D14" s="141">
        <v>4</v>
      </c>
      <c r="E14" s="141">
        <v>4</v>
      </c>
      <c r="F14" s="141">
        <v>1</v>
      </c>
      <c r="G14" s="141">
        <v>1</v>
      </c>
      <c r="H14" s="141">
        <v>4</v>
      </c>
      <c r="I14" s="141">
        <v>1</v>
      </c>
      <c r="J14" s="141">
        <v>1</v>
      </c>
      <c r="K14" s="141">
        <v>1</v>
      </c>
      <c r="L14" s="141">
        <v>1</v>
      </c>
      <c r="M14" s="141">
        <v>4</v>
      </c>
      <c r="N14" s="141">
        <v>2</v>
      </c>
      <c r="O14" s="141">
        <v>1</v>
      </c>
      <c r="P14" s="141">
        <v>1</v>
      </c>
      <c r="Q14" s="141">
        <v>1</v>
      </c>
      <c r="R14" s="141">
        <v>1</v>
      </c>
      <c r="S14" s="141">
        <v>1</v>
      </c>
      <c r="T14" s="141">
        <v>1</v>
      </c>
      <c r="U14" s="141">
        <v>1</v>
      </c>
      <c r="V14" s="141"/>
      <c r="W14" s="141"/>
      <c r="X14" s="141"/>
      <c r="Y14" s="141"/>
      <c r="Z14" s="141"/>
      <c r="AA14" s="141"/>
      <c r="AB14" s="141">
        <v>1</v>
      </c>
      <c r="AC14" s="141">
        <v>1</v>
      </c>
      <c r="AD14" s="141">
        <v>1</v>
      </c>
      <c r="AE14" s="141">
        <v>1</v>
      </c>
      <c r="AF14" s="141">
        <v>1</v>
      </c>
      <c r="AG14" s="141">
        <v>1</v>
      </c>
      <c r="AH14" s="141">
        <v>1</v>
      </c>
      <c r="AI14" s="141">
        <v>1</v>
      </c>
      <c r="AJ14" s="141">
        <v>1</v>
      </c>
      <c r="AK14" s="141">
        <v>1</v>
      </c>
      <c r="AL14" s="141">
        <v>1</v>
      </c>
      <c r="AM14" s="141">
        <v>1</v>
      </c>
      <c r="AN14" s="141">
        <v>1</v>
      </c>
      <c r="AO14" s="141">
        <v>1</v>
      </c>
      <c r="AP14" s="141">
        <v>1</v>
      </c>
      <c r="AQ14" s="141">
        <v>1</v>
      </c>
      <c r="AR14" s="141">
        <v>1</v>
      </c>
      <c r="AS14" s="141">
        <v>1</v>
      </c>
      <c r="AT14" s="141">
        <v>1</v>
      </c>
      <c r="AU14" s="141">
        <v>1</v>
      </c>
      <c r="AV14" s="141">
        <v>1</v>
      </c>
      <c r="AW14" s="141">
        <v>1</v>
      </c>
      <c r="AX14" s="141">
        <v>1</v>
      </c>
      <c r="AY14" s="141">
        <v>1</v>
      </c>
      <c r="AZ14" s="141">
        <v>1</v>
      </c>
      <c r="BA14" s="141">
        <v>500</v>
      </c>
    </row>
    <row r="15" spans="1:53" x14ac:dyDescent="0.2">
      <c r="A15" s="139">
        <v>1478</v>
      </c>
      <c r="B15" s="141">
        <v>5</v>
      </c>
      <c r="C15" s="141">
        <v>1</v>
      </c>
      <c r="D15" s="141">
        <v>3</v>
      </c>
      <c r="E15" s="141">
        <v>3</v>
      </c>
      <c r="F15" s="141">
        <v>1</v>
      </c>
      <c r="G15" s="141">
        <v>1</v>
      </c>
      <c r="H15" s="141">
        <v>5</v>
      </c>
      <c r="I15" s="141">
        <v>1</v>
      </c>
      <c r="J15" s="141">
        <v>1</v>
      </c>
      <c r="K15" s="141">
        <v>1</v>
      </c>
      <c r="L15" s="141">
        <v>1</v>
      </c>
      <c r="M15" s="141">
        <v>1</v>
      </c>
      <c r="N15" s="141">
        <v>1</v>
      </c>
      <c r="O15" s="141">
        <v>1</v>
      </c>
      <c r="P15" s="141">
        <v>1</v>
      </c>
      <c r="Q15" s="141">
        <v>1</v>
      </c>
      <c r="R15" s="141">
        <v>1</v>
      </c>
      <c r="S15" s="141">
        <v>1</v>
      </c>
      <c r="T15" s="141">
        <v>1</v>
      </c>
      <c r="U15" s="141">
        <v>1</v>
      </c>
      <c r="V15" s="141"/>
      <c r="W15" s="141"/>
      <c r="X15" s="141"/>
      <c r="Y15" s="141"/>
      <c r="Z15" s="141"/>
      <c r="AA15" s="141"/>
      <c r="AB15" s="141">
        <v>1</v>
      </c>
      <c r="AC15" s="141">
        <v>1</v>
      </c>
      <c r="AD15" s="141">
        <v>1</v>
      </c>
      <c r="AE15" s="141">
        <v>1</v>
      </c>
      <c r="AF15" s="141">
        <v>1</v>
      </c>
      <c r="AG15" s="141">
        <v>1</v>
      </c>
      <c r="AH15" s="141">
        <v>1</v>
      </c>
      <c r="AI15" s="141">
        <v>1</v>
      </c>
      <c r="AJ15" s="141">
        <v>1</v>
      </c>
      <c r="AK15" s="141">
        <v>1</v>
      </c>
      <c r="AL15" s="141">
        <v>1</v>
      </c>
      <c r="AM15" s="141">
        <v>1</v>
      </c>
      <c r="AN15" s="141">
        <v>1</v>
      </c>
      <c r="AO15" s="141">
        <v>1</v>
      </c>
      <c r="AP15" s="141">
        <v>1</v>
      </c>
      <c r="AQ15" s="141">
        <v>1</v>
      </c>
      <c r="AR15" s="141">
        <v>1</v>
      </c>
      <c r="AS15" s="141">
        <v>1</v>
      </c>
      <c r="AT15" s="141">
        <v>1</v>
      </c>
      <c r="AU15" s="141">
        <v>1</v>
      </c>
      <c r="AV15" s="141">
        <v>1</v>
      </c>
      <c r="AW15" s="141">
        <v>1</v>
      </c>
      <c r="AX15" s="141">
        <v>1</v>
      </c>
      <c r="AY15" s="141">
        <v>1</v>
      </c>
      <c r="AZ15" s="141">
        <v>1</v>
      </c>
      <c r="BA15" s="141">
        <v>500</v>
      </c>
    </row>
    <row r="16" spans="1:53" x14ac:dyDescent="0.2">
      <c r="A16" s="139">
        <v>1479</v>
      </c>
      <c r="B16" s="141">
        <v>2</v>
      </c>
      <c r="C16" s="141">
        <v>1</v>
      </c>
      <c r="D16" s="141">
        <v>4</v>
      </c>
      <c r="E16" s="141">
        <v>4</v>
      </c>
      <c r="F16" s="141">
        <v>2</v>
      </c>
      <c r="G16" s="141">
        <v>1</v>
      </c>
      <c r="H16" s="141">
        <v>3</v>
      </c>
      <c r="I16" s="141">
        <v>1</v>
      </c>
      <c r="J16" s="141">
        <v>1</v>
      </c>
      <c r="K16" s="141">
        <v>2</v>
      </c>
      <c r="L16" s="141">
        <v>1</v>
      </c>
      <c r="M16" s="141">
        <v>1</v>
      </c>
      <c r="N16" s="141">
        <v>1</v>
      </c>
      <c r="O16" s="141">
        <v>2</v>
      </c>
      <c r="P16" s="141">
        <v>2</v>
      </c>
      <c r="Q16" s="141">
        <v>2</v>
      </c>
      <c r="R16" s="141">
        <v>2</v>
      </c>
      <c r="S16" s="141">
        <v>2</v>
      </c>
      <c r="T16" s="141">
        <v>1</v>
      </c>
      <c r="U16" s="141">
        <v>2</v>
      </c>
      <c r="V16" s="141"/>
      <c r="W16" s="141"/>
      <c r="X16" s="141"/>
      <c r="Y16" s="141">
        <v>1</v>
      </c>
      <c r="Z16" s="141">
        <v>1</v>
      </c>
      <c r="AA16" s="141">
        <v>1</v>
      </c>
      <c r="AB16" s="141"/>
      <c r="AC16" s="141"/>
      <c r="AD16" s="141">
        <v>1</v>
      </c>
      <c r="AE16" s="141">
        <v>2</v>
      </c>
      <c r="AF16" s="141">
        <v>1</v>
      </c>
      <c r="AG16" s="141">
        <v>1</v>
      </c>
      <c r="AH16" s="141">
        <v>1</v>
      </c>
      <c r="AI16" s="141">
        <v>1</v>
      </c>
      <c r="AJ16" s="141">
        <v>1</v>
      </c>
      <c r="AK16" s="141">
        <v>2</v>
      </c>
      <c r="AL16" s="141">
        <v>1</v>
      </c>
      <c r="AM16" s="141">
        <v>2</v>
      </c>
      <c r="AN16" s="141">
        <v>1</v>
      </c>
      <c r="AO16" s="141">
        <v>2</v>
      </c>
      <c r="AP16" s="141">
        <v>1</v>
      </c>
      <c r="AQ16" s="141">
        <v>2</v>
      </c>
      <c r="AR16" s="141">
        <v>1</v>
      </c>
      <c r="AS16" s="141">
        <v>2</v>
      </c>
      <c r="AT16" s="141">
        <v>2</v>
      </c>
      <c r="AU16" s="141">
        <v>2</v>
      </c>
      <c r="AV16" s="141">
        <v>1</v>
      </c>
      <c r="AW16" s="141">
        <v>2</v>
      </c>
      <c r="AX16" s="141">
        <v>1</v>
      </c>
      <c r="AY16" s="141">
        <v>3</v>
      </c>
      <c r="AZ16" s="141">
        <v>1</v>
      </c>
      <c r="BA16" s="141">
        <v>500</v>
      </c>
    </row>
    <row r="17" spans="1:53" x14ac:dyDescent="0.2">
      <c r="A17" s="139">
        <v>1480</v>
      </c>
      <c r="B17" s="141">
        <v>4</v>
      </c>
      <c r="C17" s="141">
        <v>1</v>
      </c>
      <c r="D17" s="141">
        <v>6</v>
      </c>
      <c r="E17" s="141">
        <v>6</v>
      </c>
      <c r="F17" s="141">
        <v>2</v>
      </c>
      <c r="G17" s="141">
        <v>1</v>
      </c>
      <c r="H17" s="141">
        <v>3</v>
      </c>
      <c r="I17" s="141">
        <v>2</v>
      </c>
      <c r="J17" s="141">
        <v>1</v>
      </c>
      <c r="K17" s="141">
        <v>2</v>
      </c>
      <c r="L17" s="141">
        <v>1</v>
      </c>
      <c r="M17" s="141">
        <v>3</v>
      </c>
      <c r="N17" s="141">
        <v>2</v>
      </c>
      <c r="O17" s="141">
        <v>2</v>
      </c>
      <c r="P17" s="141">
        <v>2</v>
      </c>
      <c r="Q17" s="141">
        <v>2</v>
      </c>
      <c r="R17" s="141">
        <v>1</v>
      </c>
      <c r="S17" s="141">
        <v>1</v>
      </c>
      <c r="T17" s="141">
        <v>1</v>
      </c>
      <c r="U17" s="141">
        <v>2</v>
      </c>
      <c r="V17" s="141"/>
      <c r="W17" s="141"/>
      <c r="X17" s="141"/>
      <c r="Y17" s="141">
        <v>1</v>
      </c>
      <c r="Z17" s="141">
        <v>1</v>
      </c>
      <c r="AA17" s="141">
        <v>1</v>
      </c>
      <c r="AB17" s="141"/>
      <c r="AC17" s="141"/>
      <c r="AD17" s="141">
        <v>1</v>
      </c>
      <c r="AE17" s="141">
        <v>2</v>
      </c>
      <c r="AF17" s="141">
        <v>2</v>
      </c>
      <c r="AG17" s="141">
        <v>1</v>
      </c>
      <c r="AH17" s="141">
        <v>2</v>
      </c>
      <c r="AI17" s="141">
        <v>1</v>
      </c>
      <c r="AJ17" s="141">
        <v>1</v>
      </c>
      <c r="AK17" s="141">
        <v>1</v>
      </c>
      <c r="AL17" s="141">
        <v>2</v>
      </c>
      <c r="AM17" s="141">
        <v>2</v>
      </c>
      <c r="AN17" s="141">
        <v>2</v>
      </c>
      <c r="AO17" s="141">
        <v>1</v>
      </c>
      <c r="AP17" s="141">
        <v>2</v>
      </c>
      <c r="AQ17" s="141">
        <v>1</v>
      </c>
      <c r="AR17" s="141">
        <v>1</v>
      </c>
      <c r="AS17" s="141">
        <v>2</v>
      </c>
      <c r="AT17" s="141">
        <v>2</v>
      </c>
      <c r="AU17" s="141">
        <v>2</v>
      </c>
      <c r="AV17" s="141">
        <v>2</v>
      </c>
      <c r="AW17" s="141">
        <v>1</v>
      </c>
      <c r="AX17" s="141">
        <v>1</v>
      </c>
      <c r="AY17" s="141">
        <v>3</v>
      </c>
      <c r="AZ17" s="141">
        <v>1</v>
      </c>
      <c r="BA17" s="141">
        <v>500</v>
      </c>
    </row>
  </sheetData>
  <autoFilter ref="A1:BA17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topLeftCell="A13" workbookViewId="0">
      <selection activeCell="E35" sqref="E35:F35"/>
    </sheetView>
  </sheetViews>
  <sheetFormatPr baseColWidth="10" defaultColWidth="11.42578125" defaultRowHeight="15" x14ac:dyDescent="0.25"/>
  <cols>
    <col min="1" max="8" width="7.42578125" customWidth="1"/>
    <col min="9" max="9" width="8.140625" customWidth="1"/>
    <col min="10" max="10" width="7.42578125" customWidth="1"/>
    <col min="11" max="11" width="7.7109375" customWidth="1"/>
    <col min="12" max="12" width="7.42578125" customWidth="1"/>
  </cols>
  <sheetData>
    <row r="1" spans="1:12" ht="16.350000000000001" customHeight="1" thickBot="1" x14ac:dyDescent="0.3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</row>
    <row r="2" spans="1:12" ht="16.350000000000001" customHeight="1" x14ac:dyDescent="0.25">
      <c r="A2" s="258" t="s">
        <v>259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</row>
    <row r="3" spans="1:12" ht="16.350000000000001" customHeight="1" thickBot="1" x14ac:dyDescent="0.3">
      <c r="A3" s="261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3"/>
    </row>
    <row r="4" spans="1:12" ht="16.350000000000001" customHeight="1" thickTop="1" x14ac:dyDescent="0.25">
      <c r="A4" s="264" t="s">
        <v>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6"/>
    </row>
    <row r="5" spans="1:12" ht="16.350000000000001" customHeight="1" x14ac:dyDescent="0.25">
      <c r="A5" s="267" t="s">
        <v>4</v>
      </c>
      <c r="B5" s="268"/>
      <c r="C5" s="269"/>
      <c r="D5" s="270">
        <f>((COUNTIF('BASE DE DATOS 2017'!B:B,'RESUMEN 2017'!A1)*(TERMINOS!F5))+(COUNTIF('BASE DE DATOS 2017'!B:B,'RESUMEN 2017'!B1)*(TERMINOS!F6))+(COUNTIF('BASE DE DATOS 2017'!B:B,'RESUMEN 2017'!C1)*(TERMINOS!F7))+(COUNTIF('BASE DE DATOS 2017'!B:B,'RESUMEN 2017'!D1)*(TERMINOS!F8))+(COUNTIF('BASE DE DATOS 2017'!B:B,'RESUMEN 2017'!E1)*(TERMINOS!F9))+(COUNTIF('BASE DE DATOS 2017'!B:B,'RESUMEN 2017'!F1)*(TERMINOS!F10))+(COUNTIF('BASE DE DATOS 2017'!B:B,'RESUMEN 2017'!G1)*(TERMINOS!F11)))/(COUNTA('BASE DE DATOS 2017'!B:B)-2)</f>
        <v>42.333333333333336</v>
      </c>
      <c r="E5" s="270"/>
      <c r="F5" s="270"/>
      <c r="G5" s="6"/>
      <c r="H5" s="6"/>
      <c r="I5" s="6"/>
      <c r="J5" s="6"/>
      <c r="K5" s="6"/>
      <c r="L5" s="62"/>
    </row>
    <row r="6" spans="1:12" ht="16.350000000000001" customHeight="1" x14ac:dyDescent="0.25">
      <c r="A6" s="271" t="s">
        <v>5</v>
      </c>
      <c r="B6" s="272"/>
      <c r="C6" s="273"/>
      <c r="D6" s="274" t="s">
        <v>6</v>
      </c>
      <c r="E6" s="275"/>
      <c r="F6" s="276">
        <f>COUNTIF('BASE DE DATOS 2017'!C:C,'RESUMEN 2017'!B1)</f>
        <v>3</v>
      </c>
      <c r="G6" s="276"/>
      <c r="H6" s="277" t="s">
        <v>7</v>
      </c>
      <c r="I6" s="277"/>
      <c r="J6" s="277"/>
      <c r="K6" s="276">
        <f>COUNTIF('BASE DE DATOS 2017'!C:C,'RESUMEN 2017'!A1)</f>
        <v>13</v>
      </c>
      <c r="L6" s="278"/>
    </row>
    <row r="7" spans="1:12" ht="16.350000000000001" customHeight="1" x14ac:dyDescent="0.25">
      <c r="A7" s="285" t="s">
        <v>8</v>
      </c>
      <c r="B7" s="286"/>
      <c r="C7" s="286"/>
      <c r="D7" s="286"/>
      <c r="E7" s="286"/>
      <c r="F7" s="287">
        <f>((COUNTIF('BASE DE DATOS 2017'!D:D,'RESUMEN 2017'!A1)*(TERMINOS!I5))+(COUNTIF('BASE DE DATOS 2017'!D:D,'RESUMEN 2017'!B1)*(TERMINOS!I6))+(COUNTIF('BASE DE DATOS 2017'!D:D,'RESUMEN 2017'!C1)*(TERMINOS!I7))+(COUNTIF('BASE DE DATOS 2017'!D:D,'RESUMEN 2017'!D1)*(TERMINOS!I8))+(COUNTIF('BASE DE DATOS 2017'!D:D,'RESUMEN 2017'!E1)*(TERMINOS!I9))+(COUNTIF('BASE DE DATOS 2017'!D:D,'RESUMEN 2017'!F1)*(TERMINOS!I10))+(COUNTIF('BASE DE DATOS 2017'!D:D,'RESUMEN 2017'!G1)*(TERMINOS!I11))+(COUNTIF('BASE DE DATOS 2017'!D:D,'RESUMEN 2017'!H1)*(TERMINOS!I12))+(COUNTIF('BASE DE DATOS 2017'!D:D,'RESUMEN 2017'!I1)*(TERMINOS!I13)))/COUNTA('BASE DE DATOS 2017'!D:D)</f>
        <v>11.176470588235293</v>
      </c>
      <c r="G7" s="270"/>
      <c r="H7" s="6"/>
      <c r="I7" s="6"/>
      <c r="J7" s="6"/>
      <c r="K7" s="6"/>
      <c r="L7" s="62"/>
    </row>
    <row r="8" spans="1:12" ht="16.350000000000001" customHeight="1" x14ac:dyDescent="0.25">
      <c r="A8" s="271" t="s">
        <v>9</v>
      </c>
      <c r="B8" s="272"/>
      <c r="C8" s="272"/>
      <c r="D8" s="272"/>
      <c r="E8" s="273"/>
      <c r="F8" s="287">
        <f>((COUNTIF('BASE DE DATOS 2017'!E:E,'RESUMEN 2017'!A1)*(TERMINOS!I5))+(COUNTIF('BASE DE DATOS 2017'!E:E,'RESUMEN 2017'!B1)*(TERMINOS!I6))+(COUNTIF('BASE DE DATOS 2017'!E:E,'RESUMEN 2017'!C1)*(TERMINOS!I7))+(COUNTIF('BASE DE DATOS 2017'!E:E,'RESUMEN 2017'!D1)*(TERMINOS!I8))+(COUNTIF('BASE DE DATOS 2017'!E:E,'RESUMEN 2017'!E1)*(TERMINOS!I9))+(COUNTIF('BASE DE DATOS 2017'!E:E,'RESUMEN 2017'!F1)*(TERMINOS!I10))+(COUNTIF('BASE DE DATOS 2017'!E:E,'RESUMEN 2017'!G1)*(TERMINOS!I11))+(COUNTIF('BASE DE DATOS 2017'!E:E,'RESUMEN 2017'!H1)*(TERMINOS!I12))+(COUNTIF('BASE DE DATOS 2017'!E:E,'RESUMEN 2017'!I1)*(TERMINOS!I13)))/(COUNTA('BASE DE DATOS 2017'!E:E)-2)</f>
        <v>12.333333333333334</v>
      </c>
      <c r="G8" s="270"/>
      <c r="H8" s="6"/>
      <c r="I8" s="6"/>
      <c r="J8" s="6"/>
      <c r="K8" s="6"/>
      <c r="L8" s="62"/>
    </row>
    <row r="9" spans="1:12" ht="16.350000000000001" customHeight="1" x14ac:dyDescent="0.25">
      <c r="A9" s="292" t="s">
        <v>146</v>
      </c>
      <c r="B9" s="293"/>
      <c r="C9" s="294"/>
      <c r="D9" s="286" t="s">
        <v>147</v>
      </c>
      <c r="E9" s="286"/>
      <c r="F9" s="276">
        <f>COUNTIF('BASE DE DATOS 2017'!F:F,A1)</f>
        <v>4</v>
      </c>
      <c r="G9" s="276"/>
      <c r="H9" s="286" t="s">
        <v>148</v>
      </c>
      <c r="I9" s="286"/>
      <c r="J9" s="286"/>
      <c r="K9" s="276">
        <f>COUNTIF('BASE DE DATOS 2017'!F:F,B1)</f>
        <v>11</v>
      </c>
      <c r="L9" s="278"/>
    </row>
    <row r="10" spans="1:12" x14ac:dyDescent="0.25">
      <c r="A10" s="295"/>
      <c r="B10" s="296"/>
      <c r="C10" s="297"/>
      <c r="D10" s="286" t="s">
        <v>149</v>
      </c>
      <c r="E10" s="286"/>
      <c r="F10" s="276">
        <f>COUNTIF('BASE DE DATOS 2017'!F:F,C1)</f>
        <v>0</v>
      </c>
      <c r="G10" s="276"/>
      <c r="H10" s="286" t="s">
        <v>150</v>
      </c>
      <c r="I10" s="286"/>
      <c r="J10" s="286"/>
      <c r="K10" s="276">
        <f>COUNTIF('BASE DE DATOS 2017'!F:F,D1)</f>
        <v>0</v>
      </c>
      <c r="L10" s="278"/>
    </row>
    <row r="11" spans="1:12" ht="16.350000000000001" customHeight="1" x14ac:dyDescent="0.25">
      <c r="A11" s="288" t="s">
        <v>10</v>
      </c>
      <c r="B11" s="289"/>
      <c r="C11" s="290"/>
      <c r="D11" s="291" t="s">
        <v>11</v>
      </c>
      <c r="E11" s="291"/>
      <c r="F11" s="54">
        <f>COUNTIF('BASE DE DATOS 2017'!G:G,A1)</f>
        <v>15</v>
      </c>
      <c r="G11" s="291" t="s">
        <v>12</v>
      </c>
      <c r="H11" s="291"/>
      <c r="I11" s="54">
        <f>COUNTIF('BASE DE DATOS 2017'!G:G,B1)</f>
        <v>0</v>
      </c>
      <c r="J11" s="291" t="s">
        <v>13</v>
      </c>
      <c r="K11" s="291"/>
      <c r="L11" s="63">
        <f>COUNTIF('BASE DE DATOS 2017'!G:G,C1)</f>
        <v>0</v>
      </c>
    </row>
    <row r="12" spans="1:12" ht="16.350000000000001" customHeight="1" thickBot="1" x14ac:dyDescent="0.3">
      <c r="A12" s="279" t="s">
        <v>14</v>
      </c>
      <c r="B12" s="280"/>
      <c r="C12" s="281"/>
      <c r="D12" s="280" t="str">
        <f>IF((ROUND(((COUNTIF('BASE DE DATOS 2017'!H3:H17,'RESUMEN 2017'!A1)*(TERMINOS!C5))+(COUNTIF('BASE DE DATOS 2017'!H3:H17,'RESUMEN 2017'!B1)*(TERMINOS!C6))+(COUNTIF('BASE DE DATOS 2017'!H3:H17,'RESUMEN 2017'!C1)*(TERMINOS!C7))+(COUNTIF('BASE DE DATOS 2017'!H3:H17,D1)*(TERMINOS!C8))+(COUNTIF('BASE DE DATOS 2017'!H3:H17,'RESUMEN 2017'!E1)*(TERMINOS!C9))+(COUNTIF('BASE DE DATOS 2017'!H3:H17,'RESUMEN 2017'!F1)*(TERMINOS!C10))+(COUNTIF('BASE DE DATOS 2017'!H3:H17,'RESUMEN 2017'!G1)*(TERMINOS!C11)))/COUNTA('BASE DE DATOS 2017'!H3:H17),0))=0,TERMINOS!B5,IF((ROUND(((COUNTIF('BASE DE DATOS 2017'!H3:H17,'RESUMEN 2017'!A1)*(TERMINOS!C5))+(COUNTIF('BASE DE DATOS 2017'!H3:H17,'RESUMEN 2017'!B1)*(TERMINOS!C6))+(COUNTIF('BASE DE DATOS 2017'!H3:H17,'RESUMEN 2017'!C1)*(TERMINOS!C7))+(COUNTIF('BASE DE DATOS 2017'!H3:H17,D1)*(TERMINOS!C8))+(COUNTIF('BASE DE DATOS 2017'!H3:H17,'RESUMEN 2017'!E1)*(TERMINOS!C9))+(COUNTIF('BASE DE DATOS 2017'!H3:H17,'RESUMEN 2017'!F1)*(TERMINOS!C10))+(COUNTIF('BASE DE DATOS 2017'!H3:H17,'RESUMEN 2017'!G1)*(TERMINOS!C11)))/COUNTA('BASE DE DATOS 2017'!H3:H17),0))=1,TERMINOS!B6,IF((ROUND(((COUNTIF('BASE DE DATOS 2017'!H3:H17,'RESUMEN 2017'!A1)*(TERMINOS!C5))+(COUNTIF('BASE DE DATOS 2017'!H3:H17,'RESUMEN 2017'!B1)*(TERMINOS!C6))+(COUNTIF('BASE DE DATOS 2017'!H3:H17,'RESUMEN 2017'!C1)*(TERMINOS!C7))+(COUNTIF('BASE DE DATOS 2017'!H3:H17,D1)*(TERMINOS!C8))+(COUNTIF('BASE DE DATOS 2017'!H3:H17,'RESUMEN 2017'!E1)*(TERMINOS!C9))+(COUNTIF('BASE DE DATOS 2017'!H3:H17,'RESUMEN 2017'!F1)*(TERMINOS!C10))+(COUNTIF('BASE DE DATOS 2017'!H3:H17,'RESUMEN 2017'!G1)*(TERMINOS!C11)))/COUNTA('BASE DE DATOS 2017'!H3:H17),0))=2,TERMINOS!C7,IF((ROUND(((COUNTIF('BASE DE DATOS 2017'!H3:H17,'RESUMEN 2017'!A1)*(TERMINOS!C5))+(COUNTIF('BASE DE DATOS 2017'!H3:H17,'RESUMEN 2017'!B1)*(TERMINOS!C6))+(COUNTIF('BASE DE DATOS 2017'!H3:H17,'RESUMEN 2017'!C1)*(TERMINOS!C7))+(COUNTIF('BASE DE DATOS 2017'!H3:H17,D1)*(TERMINOS!C8))+(COUNTIF('BASE DE DATOS 2017'!H3:H17,'RESUMEN 2017'!E1)*(TERMINOS!C9))+(COUNTIF('BASE DE DATOS 2017'!H3:H17,'RESUMEN 2017'!F1)*(TERMINOS!C10))+(COUNTIF('BASE DE DATOS 2017'!H3:H17,'RESUMEN 2017'!G1)*(TERMINOS!C11)))/COUNTA('BASE DE DATOS 2017'!H3:H17),0))=3,TERMINOS!B8,IF((ROUND(((COUNTIF('BASE DE DATOS 2017'!H3:H17,'RESUMEN 2017'!A1)*(TERMINOS!C5))+(COUNTIF('BASE DE DATOS 2017'!H3:H17,'RESUMEN 2017'!B1)*(TERMINOS!C6))+(COUNTIF('BASE DE DATOS 2017'!H3:H17,'RESUMEN 2017'!C1)*(TERMINOS!C7))+(COUNTIF('BASE DE DATOS 2017'!H3:H17,D1)*(TERMINOS!C8))+(COUNTIF('BASE DE DATOS 2017'!H3:H17,'RESUMEN 2017'!E1)*(TERMINOS!C9))+(COUNTIF('BASE DE DATOS 2017'!H3:H17,'RESUMEN 2017'!F1)*(TERMINOS!C10))+(COUNTIF('BASE DE DATOS 2017'!H3:H17,'RESUMEN 2017'!G1)*(TERMINOS!C11)))/COUNTA('BASE DE DATOS 2017'!H3:H17),0))=4,TERMINOS!B9,IF((ROUND(((COUNTIF('BASE DE DATOS 2017'!H3:H17,'RESUMEN 2017'!A1)*(TERMINOS!C5))+(COUNTIF('BASE DE DATOS 2017'!H3:H17,'RESUMEN 2017'!B1)*(TERMINOS!C6))+(COUNTIF('BASE DE DATOS 2017'!H3:H17,'RESUMEN 2017'!C1)*(TERMINOS!C7))+(COUNTIF('BASE DE DATOS 2017'!H3:H17,D1)*(TERMINOS!C8))+(COUNTIF('BASE DE DATOS 2017'!H3:H17,'RESUMEN 2017'!E1)*(TERMINOS!C9))+(COUNTIF('BASE DE DATOS 2017'!H3:H17,'RESUMEN 2017'!F1)*(TERMINOS!C10))+(COUNTIF('BASE DE DATOS 2017'!H3:H17,'RESUMEN 2017'!G1)*(TERMINOS!C11)))/COUNTA('BASE DE DATOS 2017'!H3:H17),0))=5,TERMINOS!B10,TERMINOS!B11))))))</f>
        <v>BACHILLERATO</v>
      </c>
      <c r="E12" s="280"/>
      <c r="F12" s="280"/>
      <c r="G12" s="7"/>
      <c r="H12" s="7"/>
      <c r="I12" s="7"/>
      <c r="J12" s="7"/>
      <c r="K12" s="7"/>
      <c r="L12" s="64"/>
    </row>
    <row r="13" spans="1:12" ht="16.350000000000001" customHeight="1" x14ac:dyDescent="0.25">
      <c r="A13" s="282" t="s">
        <v>15</v>
      </c>
      <c r="B13" s="283"/>
      <c r="C13" s="283"/>
      <c r="D13" s="283"/>
      <c r="E13" s="283" t="s">
        <v>16</v>
      </c>
      <c r="F13" s="284"/>
      <c r="G13" s="282" t="s">
        <v>15</v>
      </c>
      <c r="H13" s="283"/>
      <c r="I13" s="283"/>
      <c r="J13" s="283"/>
      <c r="K13" s="283" t="s">
        <v>16</v>
      </c>
      <c r="L13" s="284"/>
    </row>
    <row r="14" spans="1:12" ht="16.350000000000001" customHeight="1" x14ac:dyDescent="0.25">
      <c r="A14" s="170" t="s">
        <v>17</v>
      </c>
      <c r="B14" s="171"/>
      <c r="C14" s="171"/>
      <c r="D14" s="171"/>
      <c r="E14" s="232">
        <f>AVERAGE(E16:F18)</f>
        <v>0.92222222222222217</v>
      </c>
      <c r="F14" s="233"/>
      <c r="G14" s="224" t="s">
        <v>36</v>
      </c>
      <c r="H14" s="225"/>
      <c r="I14" s="225"/>
      <c r="J14" s="225"/>
      <c r="K14" s="206">
        <f>AVERAGE(K15:L17)</f>
        <v>0.81851851851851853</v>
      </c>
      <c r="L14" s="207"/>
    </row>
    <row r="15" spans="1:12" ht="16.350000000000001" customHeight="1" x14ac:dyDescent="0.25">
      <c r="A15" s="242"/>
      <c r="B15" s="243"/>
      <c r="C15" s="243"/>
      <c r="D15" s="243"/>
      <c r="E15" s="216">
        <f>E16</f>
        <v>0.9</v>
      </c>
      <c r="F15" s="217"/>
      <c r="G15" s="164" t="s">
        <v>37</v>
      </c>
      <c r="H15" s="165"/>
      <c r="I15" s="165"/>
      <c r="J15" s="165"/>
      <c r="K15" s="166">
        <f>CONVIVENCIA!E16</f>
        <v>0.94444444444444442</v>
      </c>
      <c r="L15" s="167"/>
    </row>
    <row r="16" spans="1:12" ht="16.350000000000001" customHeight="1" x14ac:dyDescent="0.25">
      <c r="A16" s="178" t="s">
        <v>53</v>
      </c>
      <c r="B16" s="179"/>
      <c r="C16" s="179"/>
      <c r="D16" s="179"/>
      <c r="E16" s="166">
        <f>INSTITUCION!E11</f>
        <v>0.9</v>
      </c>
      <c r="F16" s="167"/>
      <c r="G16" s="164" t="s">
        <v>38</v>
      </c>
      <c r="H16" s="165"/>
      <c r="I16" s="165"/>
      <c r="J16" s="165"/>
      <c r="K16" s="166">
        <f>CONVIVENCIA!D25</f>
        <v>0.9555555555555556</v>
      </c>
      <c r="L16" s="167"/>
    </row>
    <row r="17" spans="1:12" ht="16.350000000000001" customHeight="1" thickBot="1" x14ac:dyDescent="0.3">
      <c r="A17" s="240" t="s">
        <v>18</v>
      </c>
      <c r="B17" s="241"/>
      <c r="C17" s="241"/>
      <c r="D17" s="241"/>
      <c r="E17" s="234">
        <f>INSTITUCION!D20</f>
        <v>1</v>
      </c>
      <c r="F17" s="235"/>
      <c r="G17" s="226" t="s">
        <v>39</v>
      </c>
      <c r="H17" s="227"/>
      <c r="I17" s="227"/>
      <c r="J17" s="227"/>
      <c r="K17" s="208">
        <f>CONVIVENCIA!E42</f>
        <v>0.55555555555555558</v>
      </c>
      <c r="L17" s="209"/>
    </row>
    <row r="18" spans="1:12" ht="16.350000000000001" customHeight="1" x14ac:dyDescent="0.25">
      <c r="A18" s="240" t="s">
        <v>19</v>
      </c>
      <c r="B18" s="241"/>
      <c r="C18" s="241"/>
      <c r="D18" s="241"/>
      <c r="E18" s="234">
        <f>INSTITUCION!D29</f>
        <v>0.8666666666666667</v>
      </c>
      <c r="F18" s="235"/>
      <c r="G18" s="214" t="s">
        <v>40</v>
      </c>
      <c r="H18" s="215"/>
      <c r="I18" s="215"/>
      <c r="J18" s="215"/>
      <c r="K18" s="202">
        <f>AVERAGE(K19:L22)</f>
        <v>0.88287037037037031</v>
      </c>
      <c r="L18" s="203"/>
    </row>
    <row r="19" spans="1:12" ht="16.350000000000001" customHeight="1" x14ac:dyDescent="0.25">
      <c r="A19" s="248" t="s">
        <v>159</v>
      </c>
      <c r="B19" s="249"/>
      <c r="C19" s="250" t="str">
        <f>IF(INSTITUCION!D26&gt;INSTITUCION!D28,INSTITUCION!C26,INSTITUCION!C28)</f>
        <v>FAVORITISMO MASCULINO</v>
      </c>
      <c r="D19" s="250"/>
      <c r="E19" s="250"/>
      <c r="F19" s="251"/>
      <c r="G19" s="178" t="s">
        <v>41</v>
      </c>
      <c r="H19" s="179"/>
      <c r="I19" s="179"/>
      <c r="J19" s="179"/>
      <c r="K19" s="176">
        <f>'MANDOS MEDIOS'!E24</f>
        <v>0.93333333333333324</v>
      </c>
      <c r="L19" s="177"/>
    </row>
    <row r="20" spans="1:12" ht="16.350000000000001" customHeight="1" x14ac:dyDescent="0.25">
      <c r="A20" s="170" t="s">
        <v>160</v>
      </c>
      <c r="B20" s="171"/>
      <c r="C20" s="171"/>
      <c r="D20" s="171"/>
      <c r="E20" s="232">
        <f>AVERAGE(E22:F28)</f>
        <v>0.84365079365079354</v>
      </c>
      <c r="F20" s="233"/>
      <c r="G20" s="178" t="s">
        <v>42</v>
      </c>
      <c r="H20" s="179"/>
      <c r="I20" s="179"/>
      <c r="J20" s="179"/>
      <c r="K20" s="176">
        <f>'MANDOS MEDIOS'!E41</f>
        <v>0.75555555555555554</v>
      </c>
      <c r="L20" s="177"/>
    </row>
    <row r="21" spans="1:12" ht="16.350000000000001" customHeight="1" x14ac:dyDescent="0.25">
      <c r="A21" s="172"/>
      <c r="B21" s="173"/>
      <c r="C21" s="173"/>
      <c r="D21" s="173"/>
      <c r="E21" s="216">
        <f>AVERAGE(E22:F26,E28)</f>
        <v>0.83981481481481479</v>
      </c>
      <c r="F21" s="217"/>
      <c r="G21" s="178" t="s">
        <v>43</v>
      </c>
      <c r="H21" s="179"/>
      <c r="I21" s="179"/>
      <c r="J21" s="179"/>
      <c r="K21" s="176">
        <f>'MANDOS MEDIOS'!D51</f>
        <v>0.91111111111111109</v>
      </c>
      <c r="L21" s="177"/>
    </row>
    <row r="22" spans="1:12" ht="16.350000000000001" customHeight="1" x14ac:dyDescent="0.25">
      <c r="A22" s="256" t="s">
        <v>20</v>
      </c>
      <c r="B22" s="257"/>
      <c r="C22" s="257"/>
      <c r="D22" s="257"/>
      <c r="E22" s="166">
        <f>ESPACIO!E7</f>
        <v>0.93333333333333335</v>
      </c>
      <c r="F22" s="167"/>
      <c r="G22" s="210" t="s">
        <v>44</v>
      </c>
      <c r="H22" s="211"/>
      <c r="I22" s="211"/>
      <c r="J22" s="211"/>
      <c r="K22" s="176">
        <f>'MANDOS MEDIOS'!E72</f>
        <v>0.93148148148148147</v>
      </c>
      <c r="L22" s="177"/>
    </row>
    <row r="23" spans="1:12" ht="16.350000000000001" customHeight="1" x14ac:dyDescent="0.25">
      <c r="A23" s="164" t="s">
        <v>2</v>
      </c>
      <c r="B23" s="165"/>
      <c r="C23" s="165"/>
      <c r="D23" s="165"/>
      <c r="E23" s="166">
        <f>ESPACIO!E16</f>
        <v>0.7</v>
      </c>
      <c r="F23" s="167"/>
      <c r="G23" s="170" t="s">
        <v>45</v>
      </c>
      <c r="H23" s="171"/>
      <c r="I23" s="171"/>
      <c r="J23" s="171"/>
      <c r="K23" s="212">
        <f>AVERAGE(K25:L30)</f>
        <v>0.79259259259259263</v>
      </c>
      <c r="L23" s="213"/>
    </row>
    <row r="24" spans="1:12" ht="16.350000000000001" customHeight="1" x14ac:dyDescent="0.25">
      <c r="A24" s="164" t="s">
        <v>21</v>
      </c>
      <c r="B24" s="165"/>
      <c r="C24" s="165"/>
      <c r="D24" s="165"/>
      <c r="E24" s="166">
        <f>ESPACIO!E25</f>
        <v>0.8</v>
      </c>
      <c r="F24" s="167"/>
      <c r="G24" s="172"/>
      <c r="H24" s="173"/>
      <c r="I24" s="173"/>
      <c r="J24" s="173"/>
      <c r="K24" s="168">
        <f>AVERAGE(K25:L29)</f>
        <v>0.78444444444444439</v>
      </c>
      <c r="L24" s="169"/>
    </row>
    <row r="25" spans="1:12" ht="16.350000000000001" customHeight="1" x14ac:dyDescent="0.25">
      <c r="A25" s="164" t="s">
        <v>22</v>
      </c>
      <c r="B25" s="165"/>
      <c r="C25" s="165"/>
      <c r="D25" s="165"/>
      <c r="E25" s="166">
        <f>ESPACIO!E43</f>
        <v>0.88888888888888895</v>
      </c>
      <c r="F25" s="167"/>
      <c r="G25" s="178" t="s">
        <v>46</v>
      </c>
      <c r="H25" s="179"/>
      <c r="I25" s="179"/>
      <c r="J25" s="179"/>
      <c r="K25" s="176">
        <f>PUESTO!E17</f>
        <v>0.61111111111111116</v>
      </c>
      <c r="L25" s="177"/>
    </row>
    <row r="26" spans="1:12" ht="16.350000000000001" customHeight="1" x14ac:dyDescent="0.25">
      <c r="A26" s="164" t="s">
        <v>23</v>
      </c>
      <c r="B26" s="165"/>
      <c r="C26" s="165"/>
      <c r="D26" s="165"/>
      <c r="E26" s="166">
        <f>ESPACIO!E60</f>
        <v>0.9</v>
      </c>
      <c r="F26" s="167"/>
      <c r="G26" s="210" t="s">
        <v>47</v>
      </c>
      <c r="H26" s="211"/>
      <c r="I26" s="211"/>
      <c r="J26" s="211"/>
      <c r="K26" s="176">
        <f>PUESTO!E70</f>
        <v>0.95555555555555549</v>
      </c>
      <c r="L26" s="177"/>
    </row>
    <row r="27" spans="1:12" ht="16.350000000000001" customHeight="1" x14ac:dyDescent="0.25">
      <c r="A27" s="228" t="s">
        <v>24</v>
      </c>
      <c r="B27" s="229"/>
      <c r="C27" s="229"/>
      <c r="D27" s="229"/>
      <c r="E27" s="188">
        <f>ESPACIO!D69</f>
        <v>0.8666666666666667</v>
      </c>
      <c r="F27" s="189"/>
      <c r="G27" s="210" t="s">
        <v>48</v>
      </c>
      <c r="H27" s="211"/>
      <c r="I27" s="211"/>
      <c r="J27" s="211"/>
      <c r="K27" s="176">
        <f>PUESTO!D27</f>
        <v>0.82222222222222219</v>
      </c>
      <c r="L27" s="177"/>
    </row>
    <row r="28" spans="1:12" ht="16.350000000000001" customHeight="1" x14ac:dyDescent="0.25">
      <c r="A28" s="164" t="s">
        <v>25</v>
      </c>
      <c r="B28" s="165"/>
      <c r="C28" s="165"/>
      <c r="D28" s="165"/>
      <c r="E28" s="166">
        <f>ESPACIO!E83</f>
        <v>0.81666666666666665</v>
      </c>
      <c r="F28" s="167"/>
      <c r="G28" s="178" t="s">
        <v>49</v>
      </c>
      <c r="H28" s="179"/>
      <c r="I28" s="179"/>
      <c r="J28" s="179"/>
      <c r="K28" s="176">
        <f>PUESTO!D37</f>
        <v>0.93333333333333335</v>
      </c>
      <c r="L28" s="177"/>
    </row>
    <row r="29" spans="1:12" ht="16.350000000000001" customHeight="1" x14ac:dyDescent="0.25">
      <c r="A29" s="236" t="s">
        <v>26</v>
      </c>
      <c r="B29" s="237"/>
      <c r="C29" s="237"/>
      <c r="D29" s="237"/>
      <c r="E29" s="220">
        <f>((E35*K9)+(E40*F9))/SUM(F9,F10,K9)</f>
        <v>0.92592592592592593</v>
      </c>
      <c r="F29" s="221"/>
      <c r="G29" s="178" t="s">
        <v>50</v>
      </c>
      <c r="H29" s="179"/>
      <c r="I29" s="179"/>
      <c r="J29" s="179"/>
      <c r="K29" s="176">
        <f>PUESTO!D52</f>
        <v>0.6</v>
      </c>
      <c r="L29" s="177"/>
    </row>
    <row r="30" spans="1:12" ht="16.350000000000001" customHeight="1" x14ac:dyDescent="0.25">
      <c r="A30" s="238"/>
      <c r="B30" s="239"/>
      <c r="C30" s="239"/>
      <c r="D30" s="239"/>
      <c r="E30" s="174">
        <f>((E36*K9)+(E40*F9))/SUM(F9,F10,K9)</f>
        <v>0.93333333333333335</v>
      </c>
      <c r="F30" s="175"/>
      <c r="G30" s="180" t="s">
        <v>51</v>
      </c>
      <c r="H30" s="181"/>
      <c r="I30" s="181"/>
      <c r="J30" s="181"/>
      <c r="K30" s="222">
        <f>PUESTO!E85</f>
        <v>0.83333333333333326</v>
      </c>
      <c r="L30" s="223"/>
    </row>
    <row r="31" spans="1:12" ht="16.350000000000001" customHeight="1" x14ac:dyDescent="0.25">
      <c r="A31" s="252" t="s">
        <v>27</v>
      </c>
      <c r="B31" s="253"/>
      <c r="C31" s="253"/>
      <c r="D31" s="253"/>
      <c r="E31" s="254" t="s">
        <v>263</v>
      </c>
      <c r="F31" s="255"/>
      <c r="G31" s="186"/>
      <c r="H31" s="187"/>
      <c r="I31" s="187"/>
      <c r="J31" s="187"/>
      <c r="K31" s="187"/>
      <c r="L31" s="199"/>
    </row>
    <row r="32" spans="1:12" ht="16.350000000000001" customHeight="1" x14ac:dyDescent="0.25">
      <c r="A32" s="164" t="s">
        <v>28</v>
      </c>
      <c r="B32" s="165"/>
      <c r="C32" s="165"/>
      <c r="D32" s="165"/>
      <c r="E32" s="166" t="s">
        <v>263</v>
      </c>
      <c r="F32" s="167"/>
      <c r="G32" s="186"/>
      <c r="H32" s="187"/>
      <c r="I32" s="187"/>
      <c r="J32" s="187"/>
      <c r="K32" s="187"/>
      <c r="L32" s="199"/>
    </row>
    <row r="33" spans="1:12" ht="16.350000000000001" customHeight="1" x14ac:dyDescent="0.25">
      <c r="A33" s="164" t="s">
        <v>29</v>
      </c>
      <c r="B33" s="165"/>
      <c r="C33" s="165"/>
      <c r="D33" s="165"/>
      <c r="E33" s="166" t="s">
        <v>263</v>
      </c>
      <c r="F33" s="167"/>
      <c r="G33" s="186"/>
      <c r="H33" s="187"/>
      <c r="I33" s="187"/>
      <c r="J33" s="187"/>
      <c r="K33" s="187"/>
      <c r="L33" s="199"/>
    </row>
    <row r="34" spans="1:12" ht="16.350000000000001" customHeight="1" x14ac:dyDescent="0.25">
      <c r="A34" s="164" t="s">
        <v>30</v>
      </c>
      <c r="B34" s="165"/>
      <c r="C34" s="165"/>
      <c r="D34" s="165"/>
      <c r="E34" s="166" t="s">
        <v>263</v>
      </c>
      <c r="F34" s="167"/>
      <c r="G34" s="186"/>
      <c r="H34" s="187"/>
      <c r="I34" s="187"/>
      <c r="J34" s="187"/>
      <c r="K34" s="187"/>
      <c r="L34" s="199"/>
    </row>
    <row r="35" spans="1:12" ht="16.350000000000001" customHeight="1" x14ac:dyDescent="0.25">
      <c r="A35" s="244" t="s">
        <v>31</v>
      </c>
      <c r="B35" s="245"/>
      <c r="C35" s="245"/>
      <c r="D35" s="245"/>
      <c r="E35" s="218">
        <f>AVERAGE(E37:F39)</f>
        <v>0.92929292929292939</v>
      </c>
      <c r="F35" s="219"/>
      <c r="G35" s="200" t="s">
        <v>52</v>
      </c>
      <c r="H35" s="201"/>
      <c r="I35" s="201"/>
      <c r="J35" s="201"/>
      <c r="K35" s="202">
        <f>AVERAGE(E14,E20,E29,K14,K18,K23)</f>
        <v>0.86429673721340394</v>
      </c>
      <c r="L35" s="203"/>
    </row>
    <row r="36" spans="1:12" ht="16.350000000000001" customHeight="1" x14ac:dyDescent="0.25">
      <c r="A36" s="244"/>
      <c r="B36" s="245"/>
      <c r="C36" s="245"/>
      <c r="D36" s="245"/>
      <c r="E36" s="190">
        <f>AVERAGE(E38)</f>
        <v>0.93939393939393945</v>
      </c>
      <c r="F36" s="191"/>
      <c r="G36" s="246" t="s">
        <v>261</v>
      </c>
      <c r="H36" s="247"/>
      <c r="I36" s="247"/>
      <c r="J36" s="247"/>
      <c r="K36" s="192">
        <f>AVERAGE(K24,K18,K14,E30,E21,E15)</f>
        <v>0.85983024691358023</v>
      </c>
      <c r="L36" s="193"/>
    </row>
    <row r="37" spans="1:12" ht="16.350000000000001" customHeight="1" x14ac:dyDescent="0.25">
      <c r="A37" s="228" t="s">
        <v>32</v>
      </c>
      <c r="B37" s="229"/>
      <c r="C37" s="229"/>
      <c r="D37" s="229"/>
      <c r="E37" s="188">
        <f>'EQUIPO Y MATERIAL'!D36</f>
        <v>0.90909090909090906</v>
      </c>
      <c r="F37" s="189"/>
      <c r="G37" s="204" t="s">
        <v>161</v>
      </c>
      <c r="H37" s="205"/>
      <c r="I37" s="205"/>
      <c r="J37" s="205"/>
      <c r="K37" s="187">
        <f>COUNTA('BASE DE DATOS 2017'!A:A)</f>
        <v>15</v>
      </c>
      <c r="L37" s="199"/>
    </row>
    <row r="38" spans="1:12" ht="16.350000000000001" customHeight="1" x14ac:dyDescent="0.25">
      <c r="A38" s="164" t="s">
        <v>33</v>
      </c>
      <c r="B38" s="165"/>
      <c r="C38" s="165"/>
      <c r="D38" s="165"/>
      <c r="E38" s="166">
        <f>'EQUIPO Y MATERIAL'!D45</f>
        <v>0.93939393939393945</v>
      </c>
      <c r="F38" s="167"/>
      <c r="G38" s="186"/>
      <c r="H38" s="187"/>
      <c r="I38" s="187"/>
      <c r="J38" s="187"/>
      <c r="K38" s="187"/>
      <c r="L38" s="199"/>
    </row>
    <row r="39" spans="1:12" ht="16.350000000000001" customHeight="1" x14ac:dyDescent="0.25">
      <c r="A39" s="228" t="s">
        <v>34</v>
      </c>
      <c r="B39" s="229"/>
      <c r="C39" s="229"/>
      <c r="D39" s="229"/>
      <c r="E39" s="188">
        <f>'EQUIPO Y MATERIAL'!D56</f>
        <v>0.93939393939393945</v>
      </c>
      <c r="F39" s="189"/>
      <c r="G39" s="186"/>
      <c r="H39" s="187"/>
      <c r="I39" s="187"/>
      <c r="J39" s="187"/>
      <c r="K39" s="187"/>
      <c r="L39" s="199"/>
    </row>
    <row r="40" spans="1:12" ht="16.350000000000001" customHeight="1" thickBot="1" x14ac:dyDescent="0.3">
      <c r="A40" s="230" t="s">
        <v>35</v>
      </c>
      <c r="B40" s="231"/>
      <c r="C40" s="231"/>
      <c r="D40" s="231"/>
      <c r="E40" s="218">
        <f>AVERAGE(E41:F42)</f>
        <v>0.91666666666666663</v>
      </c>
      <c r="F40" s="219"/>
      <c r="G40" s="196" t="s">
        <v>176</v>
      </c>
      <c r="H40" s="197"/>
      <c r="I40" s="197"/>
      <c r="J40" s="197"/>
      <c r="K40" s="197"/>
      <c r="L40" s="198"/>
    </row>
    <row r="41" spans="1:12" ht="16.350000000000001" customHeight="1" x14ac:dyDescent="0.25">
      <c r="A41" s="164" t="s">
        <v>32</v>
      </c>
      <c r="B41" s="165"/>
      <c r="C41" s="165"/>
      <c r="D41" s="165"/>
      <c r="E41" s="166">
        <f>'EQUIPO Y MATERIAL'!D65</f>
        <v>0.91666666666666663</v>
      </c>
      <c r="F41" s="167"/>
      <c r="G41" s="65"/>
      <c r="H41" s="184" t="s">
        <v>173</v>
      </c>
      <c r="I41" s="184"/>
      <c r="J41" s="184"/>
      <c r="K41" s="184"/>
      <c r="L41" s="185"/>
    </row>
    <row r="42" spans="1:12" ht="16.350000000000001" customHeight="1" x14ac:dyDescent="0.25">
      <c r="A42" s="164" t="s">
        <v>33</v>
      </c>
      <c r="B42" s="165"/>
      <c r="C42" s="165"/>
      <c r="D42" s="165"/>
      <c r="E42" s="166">
        <f>'EQUIPO Y MATERIAL'!D74</f>
        <v>0.91666666666666663</v>
      </c>
      <c r="F42" s="167"/>
      <c r="G42" s="66"/>
      <c r="H42" s="182" t="s">
        <v>174</v>
      </c>
      <c r="I42" s="182"/>
      <c r="J42" s="182"/>
      <c r="K42" s="182"/>
      <c r="L42" s="183"/>
    </row>
    <row r="43" spans="1:12" ht="16.350000000000001" customHeight="1" thickBot="1" x14ac:dyDescent="0.3">
      <c r="A43" s="226"/>
      <c r="B43" s="227"/>
      <c r="C43" s="227"/>
      <c r="D43" s="227"/>
      <c r="E43" s="208"/>
      <c r="F43" s="209"/>
      <c r="G43" s="67"/>
      <c r="H43" s="194" t="s">
        <v>175</v>
      </c>
      <c r="I43" s="194"/>
      <c r="J43" s="194"/>
      <c r="K43" s="194"/>
      <c r="L43" s="195"/>
    </row>
    <row r="44" spans="1:12" ht="16.350000000000001" customHeight="1" x14ac:dyDescent="0.25"/>
    <row r="45" spans="1:12" ht="16.350000000000001" customHeight="1" x14ac:dyDescent="0.25">
      <c r="G45" s="9"/>
      <c r="H45" s="9"/>
      <c r="I45" s="9"/>
      <c r="J45" s="9"/>
      <c r="K45" s="9"/>
      <c r="L45" s="9"/>
    </row>
    <row r="46" spans="1:12" ht="16.350000000000001" customHeight="1" x14ac:dyDescent="0.25">
      <c r="A46" s="8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ht="15" customHeight="1" x14ac:dyDescent="0.25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ht="15" customHeight="1" x14ac:dyDescent="0.25">
      <c r="A48" s="8"/>
      <c r="B48" s="8"/>
      <c r="C48" s="8"/>
      <c r="D48" s="8"/>
      <c r="E48" s="8"/>
      <c r="F48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43">
    <mergeCell ref="A12:C12"/>
    <mergeCell ref="D12:F12"/>
    <mergeCell ref="A13:D13"/>
    <mergeCell ref="E13:F13"/>
    <mergeCell ref="G13:J13"/>
    <mergeCell ref="K13:L13"/>
    <mergeCell ref="A7:E7"/>
    <mergeCell ref="F7:G7"/>
    <mergeCell ref="A8:E8"/>
    <mergeCell ref="F8:G8"/>
    <mergeCell ref="A11:C11"/>
    <mergeCell ref="D11:E11"/>
    <mergeCell ref="G11:H11"/>
    <mergeCell ref="D9:E9"/>
    <mergeCell ref="F9:G9"/>
    <mergeCell ref="H9:J9"/>
    <mergeCell ref="H10:J10"/>
    <mergeCell ref="F10:G10"/>
    <mergeCell ref="A9:C10"/>
    <mergeCell ref="J11:K11"/>
    <mergeCell ref="K9:L9"/>
    <mergeCell ref="D10:E10"/>
    <mergeCell ref="K10:L10"/>
    <mergeCell ref="A2:L3"/>
    <mergeCell ref="A4:L4"/>
    <mergeCell ref="A5:C5"/>
    <mergeCell ref="D5:F5"/>
    <mergeCell ref="A6:C6"/>
    <mergeCell ref="D6:E6"/>
    <mergeCell ref="F6:G6"/>
    <mergeCell ref="H6:J6"/>
    <mergeCell ref="K6:L6"/>
    <mergeCell ref="A43:D43"/>
    <mergeCell ref="E43:F43"/>
    <mergeCell ref="A19:B19"/>
    <mergeCell ref="C19:F19"/>
    <mergeCell ref="E33:F33"/>
    <mergeCell ref="E20:F20"/>
    <mergeCell ref="E22:F22"/>
    <mergeCell ref="E23:F23"/>
    <mergeCell ref="E24:F24"/>
    <mergeCell ref="E25:F25"/>
    <mergeCell ref="A28:D28"/>
    <mergeCell ref="A31:D31"/>
    <mergeCell ref="A32:D32"/>
    <mergeCell ref="A33:D33"/>
    <mergeCell ref="E31:F31"/>
    <mergeCell ref="E26:F26"/>
    <mergeCell ref="A22:D22"/>
    <mergeCell ref="A23:D23"/>
    <mergeCell ref="A24:D24"/>
    <mergeCell ref="A25:D25"/>
    <mergeCell ref="A26:D26"/>
    <mergeCell ref="A27:D27"/>
    <mergeCell ref="A20:D21"/>
    <mergeCell ref="E21:F21"/>
    <mergeCell ref="G14:J14"/>
    <mergeCell ref="G15:J15"/>
    <mergeCell ref="G16:J16"/>
    <mergeCell ref="G17:J17"/>
    <mergeCell ref="A37:D37"/>
    <mergeCell ref="A38:D38"/>
    <mergeCell ref="A39:D39"/>
    <mergeCell ref="A40:D40"/>
    <mergeCell ref="A41:D41"/>
    <mergeCell ref="E14:F14"/>
    <mergeCell ref="E16:F16"/>
    <mergeCell ref="E17:F17"/>
    <mergeCell ref="E18:F18"/>
    <mergeCell ref="A29:D30"/>
    <mergeCell ref="A16:D16"/>
    <mergeCell ref="A17:D17"/>
    <mergeCell ref="A18:D18"/>
    <mergeCell ref="E41:F41"/>
    <mergeCell ref="E40:F40"/>
    <mergeCell ref="G25:J25"/>
    <mergeCell ref="A34:D34"/>
    <mergeCell ref="A14:D15"/>
    <mergeCell ref="A35:D36"/>
    <mergeCell ref="G36:J36"/>
    <mergeCell ref="K20:L20"/>
    <mergeCell ref="E15:F15"/>
    <mergeCell ref="K32:L32"/>
    <mergeCell ref="G33:J33"/>
    <mergeCell ref="K33:L33"/>
    <mergeCell ref="K26:L26"/>
    <mergeCell ref="G38:J38"/>
    <mergeCell ref="K38:L38"/>
    <mergeCell ref="E35:F35"/>
    <mergeCell ref="E37:F37"/>
    <mergeCell ref="E38:F38"/>
    <mergeCell ref="E27:F27"/>
    <mergeCell ref="E28:F28"/>
    <mergeCell ref="E29:F29"/>
    <mergeCell ref="G28:J28"/>
    <mergeCell ref="E32:F32"/>
    <mergeCell ref="G27:J27"/>
    <mergeCell ref="G26:J26"/>
    <mergeCell ref="G32:J32"/>
    <mergeCell ref="G31:J31"/>
    <mergeCell ref="K30:L30"/>
    <mergeCell ref="K27:L27"/>
    <mergeCell ref="H43:L43"/>
    <mergeCell ref="G40:L40"/>
    <mergeCell ref="K34:L34"/>
    <mergeCell ref="G35:J35"/>
    <mergeCell ref="K35:L35"/>
    <mergeCell ref="G37:J37"/>
    <mergeCell ref="K37:L37"/>
    <mergeCell ref="K39:L39"/>
    <mergeCell ref="K14:L14"/>
    <mergeCell ref="K15:L15"/>
    <mergeCell ref="K16:L16"/>
    <mergeCell ref="K17:L17"/>
    <mergeCell ref="G21:J21"/>
    <mergeCell ref="K21:L21"/>
    <mergeCell ref="G22:J22"/>
    <mergeCell ref="K22:L22"/>
    <mergeCell ref="K23:L23"/>
    <mergeCell ref="K25:L25"/>
    <mergeCell ref="K31:L31"/>
    <mergeCell ref="G18:J18"/>
    <mergeCell ref="K18:L18"/>
    <mergeCell ref="G19:J19"/>
    <mergeCell ref="K19:L19"/>
    <mergeCell ref="G20:J20"/>
    <mergeCell ref="A42:D42"/>
    <mergeCell ref="E42:F42"/>
    <mergeCell ref="K24:L24"/>
    <mergeCell ref="G23:J24"/>
    <mergeCell ref="E30:F30"/>
    <mergeCell ref="K28:L28"/>
    <mergeCell ref="G29:J29"/>
    <mergeCell ref="K29:L29"/>
    <mergeCell ref="G30:J30"/>
    <mergeCell ref="H42:L42"/>
    <mergeCell ref="H41:L41"/>
    <mergeCell ref="E34:F34"/>
    <mergeCell ref="G39:J39"/>
    <mergeCell ref="E39:F39"/>
    <mergeCell ref="G34:J34"/>
    <mergeCell ref="E36:F36"/>
    <mergeCell ref="K36:L3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"/>
  <sheetViews>
    <sheetView workbookViewId="0">
      <selection activeCell="K9" sqref="K9"/>
    </sheetView>
  </sheetViews>
  <sheetFormatPr baseColWidth="10" defaultRowHeight="15" x14ac:dyDescent="0.25"/>
  <cols>
    <col min="2" max="2" width="23.5703125" customWidth="1"/>
    <col min="3" max="4" width="5.28515625" customWidth="1"/>
    <col min="5" max="5" width="5.5703125" customWidth="1"/>
    <col min="6" max="6" width="6.85546875" customWidth="1"/>
    <col min="8" max="8" width="5.28515625" customWidth="1"/>
  </cols>
  <sheetData>
    <row r="4" spans="2:9" x14ac:dyDescent="0.25">
      <c r="B4" s="55" t="s">
        <v>151</v>
      </c>
      <c r="C4" s="55"/>
      <c r="E4" s="298" t="s">
        <v>186</v>
      </c>
      <c r="F4" s="298"/>
    </row>
    <row r="5" spans="2:9" x14ac:dyDescent="0.25">
      <c r="B5" s="56" t="s">
        <v>152</v>
      </c>
      <c r="C5" s="56">
        <v>0</v>
      </c>
      <c r="E5" s="56" t="s">
        <v>163</v>
      </c>
      <c r="F5" s="56">
        <v>20</v>
      </c>
      <c r="H5" t="s">
        <v>163</v>
      </c>
      <c r="I5">
        <v>0</v>
      </c>
    </row>
    <row r="6" spans="2:9" x14ac:dyDescent="0.25">
      <c r="B6" s="56" t="s">
        <v>153</v>
      </c>
      <c r="C6" s="56">
        <v>1</v>
      </c>
      <c r="E6" s="56" t="s">
        <v>164</v>
      </c>
      <c r="F6" s="56">
        <v>29</v>
      </c>
      <c r="H6" t="s">
        <v>164</v>
      </c>
      <c r="I6">
        <v>3</v>
      </c>
    </row>
    <row r="7" spans="2:9" x14ac:dyDescent="0.25">
      <c r="B7" s="56" t="s">
        <v>154</v>
      </c>
      <c r="C7" s="56">
        <v>2</v>
      </c>
      <c r="E7" s="56" t="s">
        <v>165</v>
      </c>
      <c r="F7" s="56">
        <v>38</v>
      </c>
      <c r="H7" t="s">
        <v>165</v>
      </c>
      <c r="I7">
        <v>8</v>
      </c>
    </row>
    <row r="8" spans="2:9" x14ac:dyDescent="0.25">
      <c r="B8" s="56" t="s">
        <v>155</v>
      </c>
      <c r="C8" s="56">
        <v>3</v>
      </c>
      <c r="E8" s="56" t="s">
        <v>166</v>
      </c>
      <c r="F8" s="56">
        <v>47</v>
      </c>
      <c r="H8" t="s">
        <v>166</v>
      </c>
      <c r="I8">
        <v>13</v>
      </c>
    </row>
    <row r="9" spans="2:9" x14ac:dyDescent="0.25">
      <c r="B9" s="56" t="s">
        <v>156</v>
      </c>
      <c r="C9" s="56">
        <v>4</v>
      </c>
      <c r="E9" s="56" t="s">
        <v>167</v>
      </c>
      <c r="F9" s="56">
        <v>56</v>
      </c>
      <c r="H9" t="s">
        <v>167</v>
      </c>
      <c r="I9">
        <v>18</v>
      </c>
    </row>
    <row r="10" spans="2:9" x14ac:dyDescent="0.25">
      <c r="B10" s="56" t="s">
        <v>157</v>
      </c>
      <c r="C10" s="56">
        <v>5</v>
      </c>
      <c r="E10" s="56" t="s">
        <v>168</v>
      </c>
      <c r="F10" s="56">
        <v>65</v>
      </c>
      <c r="H10" t="s">
        <v>168</v>
      </c>
      <c r="I10">
        <v>23</v>
      </c>
    </row>
    <row r="11" spans="2:9" x14ac:dyDescent="0.25">
      <c r="B11" s="56" t="s">
        <v>158</v>
      </c>
      <c r="C11" s="56">
        <v>6</v>
      </c>
      <c r="E11" s="56" t="s">
        <v>169</v>
      </c>
      <c r="F11" s="56">
        <v>74</v>
      </c>
      <c r="H11" t="s">
        <v>169</v>
      </c>
      <c r="I11">
        <v>28</v>
      </c>
    </row>
    <row r="12" spans="2:9" x14ac:dyDescent="0.25">
      <c r="H12" t="s">
        <v>170</v>
      </c>
      <c r="I12">
        <v>33</v>
      </c>
    </row>
    <row r="13" spans="2:9" x14ac:dyDescent="0.25">
      <c r="H13" t="s">
        <v>171</v>
      </c>
      <c r="I13">
        <v>38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J12" sqref="J12"/>
    </sheetView>
  </sheetViews>
  <sheetFormatPr baseColWidth="10" defaultColWidth="11.42578125" defaultRowHeight="15" x14ac:dyDescent="0.25"/>
  <cols>
    <col min="1" max="1" width="4.85546875" customWidth="1"/>
    <col min="2" max="2" width="38" bestFit="1" customWidth="1"/>
    <col min="3" max="3" width="3.140625" customWidth="1"/>
    <col min="4" max="4" width="11.85546875" style="92" bestFit="1" customWidth="1"/>
    <col min="5" max="5" width="11.85546875" style="92" customWidth="1"/>
    <col min="6" max="6" width="9.42578125" style="92" bestFit="1" customWidth="1"/>
    <col min="7" max="7" width="12.85546875" style="92" customWidth="1"/>
    <col min="8" max="8" width="11.7109375" bestFit="1" customWidth="1"/>
    <col min="9" max="9" width="7.42578125" customWidth="1"/>
    <col min="11" max="11" width="31.7109375" bestFit="1" customWidth="1"/>
  </cols>
  <sheetData>
    <row r="1" spans="1:14" ht="16.350000000000001" customHeight="1" x14ac:dyDescent="0.25">
      <c r="B1" s="299" t="s">
        <v>245</v>
      </c>
      <c r="C1" s="299"/>
      <c r="D1" s="299"/>
      <c r="E1" s="299"/>
      <c r="F1" s="299"/>
      <c r="G1" s="134"/>
      <c r="H1" s="90"/>
    </row>
    <row r="2" spans="1:14" ht="16.350000000000001" customHeight="1" thickBot="1" x14ac:dyDescent="0.3">
      <c r="B2" s="300"/>
      <c r="C2" s="300"/>
      <c r="D2" s="300"/>
      <c r="E2" s="300"/>
      <c r="F2" s="301"/>
      <c r="G2" s="156"/>
    </row>
    <row r="3" spans="1:14" s="91" customFormat="1" ht="45.75" thickBot="1" x14ac:dyDescent="0.3">
      <c r="A3" s="110"/>
      <c r="B3" s="131" t="s">
        <v>15</v>
      </c>
      <c r="C3" s="151"/>
      <c r="D3" s="132">
        <v>2015</v>
      </c>
      <c r="E3" s="132">
        <v>2016</v>
      </c>
      <c r="F3" s="157">
        <v>2017</v>
      </c>
      <c r="G3" s="159" t="s">
        <v>260</v>
      </c>
      <c r="H3" s="158" t="s">
        <v>262</v>
      </c>
    </row>
    <row r="4" spans="1:14" ht="16.350000000000001" customHeight="1" thickBot="1" x14ac:dyDescent="0.3">
      <c r="A4">
        <v>1</v>
      </c>
      <c r="B4" s="126" t="s">
        <v>246</v>
      </c>
      <c r="C4" s="94"/>
      <c r="D4" s="124">
        <f>AVERAGE(D5:D7)</f>
        <v>0.84259259259259256</v>
      </c>
      <c r="E4" s="133">
        <f>AVERAGE(E5:E7)</f>
        <v>1</v>
      </c>
      <c r="F4" s="111">
        <f>AVERAGE(F5:F7)</f>
        <v>0.92222222222222217</v>
      </c>
      <c r="G4" s="160">
        <v>0.71876857811537098</v>
      </c>
      <c r="H4" s="130"/>
      <c r="K4" s="148" t="s">
        <v>258</v>
      </c>
      <c r="L4" s="149">
        <v>2015</v>
      </c>
      <c r="M4" s="149">
        <v>2016</v>
      </c>
      <c r="N4" s="150">
        <v>2017</v>
      </c>
    </row>
    <row r="5" spans="1:14" ht="16.350000000000001" customHeight="1" x14ac:dyDescent="0.25">
      <c r="A5">
        <v>2</v>
      </c>
      <c r="B5" s="125" t="s">
        <v>53</v>
      </c>
      <c r="C5" s="109"/>
      <c r="D5" s="93">
        <f>AVERAGE(((((COUNTIF('BASE DE DATOS 2015'!I:I,1)+COUNTIF('BASE DE DATOS 2015'!I:I,2)+COUNTIF('BASE DE DATOS 2015'!I:I,3))/(COUNTA('BASE DE DATOS 2015'!I:I)-2)))),(((COUNTIF('BASE DE DATOS 2015'!I:I,1)*1)+(COUNTIF('BASE DE DATOS 2015'!I:I,2)*1/2))/((COUNTIF('BASE DE DATOS 2015'!I:I,1))+(COUNTIF('BASE DE DATOS 2015'!I:I,2))+(COUNTIF('BASE DE DATOS 2015'!I:I,3)))))</f>
        <v>0.97222222222222221</v>
      </c>
      <c r="E5" s="93">
        <f>AVERAGE(((((COUNTIF('BASE DE DATOS 2016'!I:I,1)+COUNTIF('BASE DE DATOS 2016'!I:I,2)+COUNTIF('BASE DE DATOS 2016'!I:I,3))/(COUNTA('BASE DE DATOS 2016'!I:I)-2)))),(((COUNTIF('BASE DE DATOS 2016'!I:I,1)*1)+(COUNTIF('BASE DE DATOS 2016'!I:I,2)*1/2))/((COUNTIF('BASE DE DATOS 2016'!I:I,1))+(COUNTIF('BASE DE DATOS 2016'!I:I,2))+(COUNTIF('BASE DE DATOS 2016'!I:I,3)))))</f>
        <v>1</v>
      </c>
      <c r="F5" s="93">
        <f>AVERAGE(((((COUNTIF('BASE DE DATOS 2017'!I:I,1)+COUNTIF('BASE DE DATOS 2017'!I:I,2)+COUNTIF('BASE DE DATOS 2017'!I:I,3))/(COUNTA('BASE DE DATOS 2017'!I:I)-2)))),(((COUNTIF('BASE DE DATOS 2017'!I:I,1)*1)+(COUNTIF('BASE DE DATOS 2017'!I:I,2)*1/2))/((COUNTIF('BASE DE DATOS 2017'!I:I,1))+(COUNTIF('BASE DE DATOS 2017'!I:I,2))+(COUNTIF('BASE DE DATOS 2017'!I:I,3)))))</f>
        <v>0.9</v>
      </c>
      <c r="G5" s="161">
        <v>0.83088355269389946</v>
      </c>
      <c r="H5" s="152">
        <f>F5-E5</f>
        <v>-9.9999999999999978E-2</v>
      </c>
      <c r="K5" s="146" t="s">
        <v>246</v>
      </c>
      <c r="L5" s="142">
        <f>D4</f>
        <v>0.84259259259259256</v>
      </c>
      <c r="M5" s="142">
        <f t="shared" ref="M5:N5" si="0">E4</f>
        <v>1</v>
      </c>
      <c r="N5" s="143">
        <f t="shared" si="0"/>
        <v>0.92222222222222217</v>
      </c>
    </row>
    <row r="6" spans="1:14" ht="16.350000000000001" customHeight="1" x14ac:dyDescent="0.25">
      <c r="A6">
        <v>3</v>
      </c>
      <c r="B6" s="125" t="s">
        <v>256</v>
      </c>
      <c r="C6" s="121"/>
      <c r="D6" s="93">
        <f>(COUNTIF('BASE DE DATOS 2015'!J:J,1)*1)/(COUNTA('BASE DE DATOS 2015'!J:J)-2)</f>
        <v>0.66666666666666663</v>
      </c>
      <c r="E6" s="93">
        <f>(COUNTIF('BASE DE DATOS 2016'!J:J,1)*1)/(COUNTA('BASE DE DATOS 2016'!J:J)-2)</f>
        <v>1</v>
      </c>
      <c r="F6" s="93">
        <f>(COUNTIF('BASE DE DATOS 2017'!J:J,1)*1)/(COUNTA('BASE DE DATOS 2017'!J:J)-2)</f>
        <v>1</v>
      </c>
      <c r="G6" s="161">
        <v>0.54404381560931081</v>
      </c>
      <c r="H6" s="153">
        <f>F6-E6</f>
        <v>0</v>
      </c>
      <c r="K6" s="146" t="s">
        <v>247</v>
      </c>
      <c r="L6" s="142">
        <f>D8</f>
        <v>0.8835978835978836</v>
      </c>
      <c r="M6" s="142">
        <f t="shared" ref="M6:N6" si="1">E8</f>
        <v>0.91904761904761911</v>
      </c>
      <c r="N6" s="143">
        <f t="shared" si="1"/>
        <v>0.84365079365079354</v>
      </c>
    </row>
    <row r="7" spans="1:14" ht="16.350000000000001" customHeight="1" thickBot="1" x14ac:dyDescent="0.3">
      <c r="A7">
        <v>4</v>
      </c>
      <c r="B7" s="125" t="s">
        <v>19</v>
      </c>
      <c r="C7" s="121"/>
      <c r="D7" s="93">
        <f>((COUNTIF('BASE DE DATOS 2015'!K:K,2)*1)/(COUNTA('BASE DE DATOS 2015'!K:K)-2))</f>
        <v>0.88888888888888884</v>
      </c>
      <c r="E7" s="93">
        <f>((COUNTIF('BASE DE DATOS 2016'!K:K,2)*1)/(COUNTA('BASE DE DATOS 2016'!K:K)-2))</f>
        <v>1</v>
      </c>
      <c r="F7" s="93">
        <f>((COUNTIF('BASE DE DATOS 2017'!K:K,2)*1)/(COUNTA('BASE DE DATOS 2017'!K:K)-2))</f>
        <v>0.8666666666666667</v>
      </c>
      <c r="G7" s="161">
        <v>0.78137836604290278</v>
      </c>
      <c r="H7" s="154">
        <f>F7-E7</f>
        <v>-0.1333333333333333</v>
      </c>
      <c r="K7" s="146" t="s">
        <v>26</v>
      </c>
      <c r="L7" s="142">
        <f>D16</f>
        <v>0.75308641975308654</v>
      </c>
      <c r="M7" s="142">
        <f t="shared" ref="M7:N7" si="2">E16</f>
        <v>1</v>
      </c>
      <c r="N7" s="143">
        <f t="shared" si="2"/>
        <v>0.92592592592592593</v>
      </c>
    </row>
    <row r="8" spans="1:14" ht="16.350000000000001" customHeight="1" thickBot="1" x14ac:dyDescent="0.3">
      <c r="A8">
        <v>5</v>
      </c>
      <c r="B8" s="126" t="s">
        <v>247</v>
      </c>
      <c r="C8" s="94"/>
      <c r="D8" s="124">
        <f>AVERAGE(D9:D15)</f>
        <v>0.8835978835978836</v>
      </c>
      <c r="E8" s="133">
        <f>AVERAGE(E9:E15)</f>
        <v>0.91904761904761911</v>
      </c>
      <c r="F8" s="111">
        <f>AVERAGE(F9:F15)</f>
        <v>0.84365079365079354</v>
      </c>
      <c r="G8" s="160">
        <v>0.73606854882528083</v>
      </c>
      <c r="H8" s="130"/>
      <c r="K8" s="146" t="s">
        <v>36</v>
      </c>
      <c r="L8" s="142">
        <f>D28</f>
        <v>0.8580246913580245</v>
      </c>
      <c r="M8" s="142">
        <f t="shared" ref="M8:N8" si="3">E28</f>
        <v>0.8833333333333333</v>
      </c>
      <c r="N8" s="143">
        <f t="shared" si="3"/>
        <v>0.81851851851851853</v>
      </c>
    </row>
    <row r="9" spans="1:14" ht="16.350000000000001" customHeight="1" x14ac:dyDescent="0.25">
      <c r="A9">
        <v>6</v>
      </c>
      <c r="B9" s="125" t="s">
        <v>20</v>
      </c>
      <c r="C9" s="22"/>
      <c r="D9" s="93">
        <f>(COUNTIF('BASE DE DATOS 2015'!L:L,1)*1)/(COUNTA('BASE DE DATOS 2015'!L:L)-2)</f>
        <v>0.88888888888888884</v>
      </c>
      <c r="E9" s="93">
        <f>(COUNTIF('BASE DE DATOS 2016'!L:L,1)*1)/(COUNTA('BASE DE DATOS 2016'!L:L)-2)</f>
        <v>1</v>
      </c>
      <c r="F9" s="93">
        <f>(COUNTIF('BASE DE DATOS 2017'!L:L,1)*1)/(COUNTA('BASE DE DATOS 2017'!L:L)-2)</f>
        <v>0.93333333333333335</v>
      </c>
      <c r="G9" s="161">
        <v>0.85623003194888181</v>
      </c>
      <c r="H9" s="152">
        <f t="shared" ref="H9:H15" si="4">F9-E9</f>
        <v>-6.6666666666666652E-2</v>
      </c>
      <c r="K9" s="146" t="s">
        <v>40</v>
      </c>
      <c r="L9" s="142">
        <f>D32</f>
        <v>0.82870370370370372</v>
      </c>
      <c r="M9" s="142">
        <f t="shared" ref="M9:N9" si="5">E32</f>
        <v>0.96388888888888891</v>
      </c>
      <c r="N9" s="143">
        <f t="shared" si="5"/>
        <v>0.88287037037037031</v>
      </c>
    </row>
    <row r="10" spans="1:14" ht="16.350000000000001" customHeight="1" thickBot="1" x14ac:dyDescent="0.3">
      <c r="A10">
        <v>7</v>
      </c>
      <c r="B10" s="125" t="s">
        <v>2</v>
      </c>
      <c r="C10" s="22"/>
      <c r="D10" s="93">
        <f>(((COUNTIF('BASE DE DATOS 2015'!M:M,1)*1)+(COUNTIF('BASE DE DATOS 2015'!M:M,2)*1/2)+(COUNTIF('BASE DE DATOS 2015'!M:M,4)*1/2)))/(COUNTA('BASE DE DATOS 2015'!M:M)-2)</f>
        <v>0.55555555555555558</v>
      </c>
      <c r="E10" s="93">
        <f>(((COUNTIF('BASE DE DATOS 2016'!M:M,1)*1)+(COUNTIF('BASE DE DATOS 2016'!M:M,2)*1/2)+(COUNTIF('BASE DE DATOS 2016'!M:M,4)*1/2)))/(COUNTA('BASE DE DATOS 2016'!M:M)-2)</f>
        <v>0.75</v>
      </c>
      <c r="F10" s="93">
        <f>(COUNTIF('BASE DE DATOS 2017'!M:M,1)*1+(COUNTIF('BASE DE DATOS 2017'!M:M,2)*1/2)+(COUNTIF('BASE DE DATOS 2017'!M:M,4)*1/2))/(COUNTA('BASE DE DATOS 2017'!M:M)-2)</f>
        <v>0.7</v>
      </c>
      <c r="G10" s="161">
        <v>0.63852122318575988</v>
      </c>
      <c r="H10" s="153">
        <f t="shared" si="4"/>
        <v>-5.0000000000000044E-2</v>
      </c>
      <c r="K10" s="147" t="s">
        <v>45</v>
      </c>
      <c r="L10" s="144">
        <f>D37</f>
        <v>0.84104938271604945</v>
      </c>
      <c r="M10" s="144">
        <f t="shared" ref="M10:N10" si="6">E37</f>
        <v>0.93055555555555569</v>
      </c>
      <c r="N10" s="145">
        <f t="shared" si="6"/>
        <v>0.79259259259259263</v>
      </c>
    </row>
    <row r="11" spans="1:14" ht="16.350000000000001" customHeight="1" x14ac:dyDescent="0.25">
      <c r="A11">
        <v>8</v>
      </c>
      <c r="B11" s="125" t="s">
        <v>21</v>
      </c>
      <c r="C11" s="22"/>
      <c r="D11" s="93">
        <f>((COUNTIF('BASE DE DATOS 2015'!N:N,1)*1)+(COUNTIF('BASE DE DATOS 2015'!N:N,2)*2/3)+(COUNTIF('BASE DE DATOS 2015'!N:N,3)*1/3))/(COUNTA('BASE DE DATOS 2015'!N:N)-2)</f>
        <v>1</v>
      </c>
      <c r="E11" s="93">
        <f>((COUNTIF('BASE DE DATOS 2016'!N:N,1)*1)+(COUNTIF('BASE DE DATOS 2016'!N:N,2)*2/3)+(COUNTIF('BASE DE DATOS 2016'!N:N,3)*1/3))/(COUNTA('BASE DE DATOS 2016'!N:N)-2)</f>
        <v>0.7</v>
      </c>
      <c r="F11" s="93">
        <f>((COUNTIF('BASE DE DATOS 2017'!N:N,1)*1)+(COUNTIF('BASE DE DATOS 2017'!N:N,2)*2/3)+(COUNTIF('BASE DE DATOS 2017'!N:N,3)*1/3))/(COUNTA('BASE DE DATOS 2017'!N:N)-2)</f>
        <v>0.8</v>
      </c>
      <c r="G11" s="161">
        <v>0.81986916172219682</v>
      </c>
      <c r="H11" s="153">
        <f t="shared" si="4"/>
        <v>0.10000000000000009</v>
      </c>
    </row>
    <row r="12" spans="1:14" ht="16.350000000000001" customHeight="1" x14ac:dyDescent="0.25">
      <c r="A12">
        <v>9</v>
      </c>
      <c r="B12" s="125" t="s">
        <v>22</v>
      </c>
      <c r="C12" s="22"/>
      <c r="D12" s="93">
        <f>AVERAGE(((COUNTIF('BASE DE DATOS 2015'!O:O,1)*1)+(COUNTIF('BASE DE DATOS 2015'!O:O,2)*2/3)+(COUNTIF('BASE DE DATOS 2015'!O:O,3)*1/3))/(COUNTA('BASE DE DATOS 2015'!O:O)-2),(((COUNTIF('BASE DE DATOS 2015'!P:P,1)*1)+(COUNTIF('BASE DE DATOS 2015'!P:P,2)*2/3)+(COUNTIF('BASE DE DATOS 2015'!P:P,3)*1/3))/(COUNTA('BASE DE DATOS 2015'!P:P)-2)))</f>
        <v>0.90740740740740744</v>
      </c>
      <c r="E12" s="93">
        <f>AVERAGE(((COUNTIF('BASE DE DATOS 2016'!O:O,1)*1)+(COUNTIF('BASE DE DATOS 2016'!O:O,2)*2/3)+(COUNTIF('BASE DE DATOS 2016'!O:O,3)*1/3))/(COUNTA('BASE DE DATOS 2016'!O:O)-2),(((COUNTIF('BASE DE DATOS 2016'!P:P,1)*1)+(COUNTIF('BASE DE DATOS 2016'!P:P,2)*2/3)+(COUNTIF('BASE DE DATOS 2016'!P:P,3)*1/3))/(COUNTA('BASE DE DATOS 2016'!P:P)-2)))</f>
        <v>0.98333333333333328</v>
      </c>
      <c r="F12" s="93">
        <f>AVERAGE(((COUNTIF('BASE DE DATOS 2017'!O:O,1)*1)+(COUNTIF('BASE DE DATOS 2017'!O:O,2)*2/3)+(COUNTIF('BASE DE DATOS 2017'!O:O,3)*1/3))/(COUNTA('BASE DE DATOS 2017'!O:O)-2),(((COUNTIF('BASE DE DATOS 2017'!P:P,1)*1)+(COUNTIF('BASE DE DATOS 2017'!P:P,2)*2/3)+(COUNTIF('BASE DE DATOS 2017'!P:P,3)*1/3))/(COUNTA('BASE DE DATOS 2017'!P:P)-2)))</f>
        <v>0.88888888888888895</v>
      </c>
      <c r="G12" s="161">
        <v>0.8041229271261221</v>
      </c>
      <c r="H12" s="153">
        <f t="shared" si="4"/>
        <v>-9.4444444444444331E-2</v>
      </c>
    </row>
    <row r="13" spans="1:14" ht="16.350000000000001" customHeight="1" x14ac:dyDescent="0.25">
      <c r="A13">
        <v>10</v>
      </c>
      <c r="B13" s="125" t="s">
        <v>23</v>
      </c>
      <c r="C13" s="22"/>
      <c r="D13" s="93">
        <f>AVERAGE((((COUNTIF('BASE DE DATOS 2015'!Q:Q,1)*1)+(COUNTIF('BASE DE DATOS 2015'!Q:Q,2)*2/3)+(COUNTIF('BASE DE DATOS 2015'!Q:Q,3)*1/3))/(COUNTA('BASE DE DATOS 2015'!Q:Q)-2)),(((COUNTIF('BASE DE DATOS 2015'!R:R,1)*1)+(COUNTIF('BASE DE DATOS 2015'!R:R,2)*2/3)+(COUNTIF('BASE DE DATOS 2015'!R:R,3)*1/3))/(COUNTA('BASE DE DATOS 2015'!R:R)-2)))</f>
        <v>0.90740740740740744</v>
      </c>
      <c r="E13" s="93">
        <f>AVERAGE((((COUNTIF('BASE DE DATOS 2016'!Q:Q,1)*1)+(COUNTIF('BASE DE DATOS 2016'!Q:Q,2)*2/3)+(COUNTIF('BASE DE DATOS 2016'!Q:Q,3)*1/3))/(COUNTA('BASE DE DATOS 2016'!Q:Q)-2)),(((COUNTIF('BASE DE DATOS 2016'!R:R,1)*1)+(COUNTIF('BASE DE DATOS 2016'!R:R,2)*2/3)+(COUNTIF('BASE DE DATOS 2016'!R:R,3)*1/3))/(COUNTA('BASE DE DATOS 2016'!R:R)-2)))</f>
        <v>1</v>
      </c>
      <c r="F13" s="93">
        <f>AVERAGE((((COUNTIF('BASE DE DATOS 2017'!Q:Q,1)*1)+(COUNTIF('BASE DE DATOS 2017'!Q:Q,2)*2/3)+(COUNTIF('BASE DE DATOS 2017'!Q:Q,3)*1/3))/(COUNTA('BASE DE DATOS 2017'!Q:Q)-2)),(((COUNTIF('BASE DE DATOS 2017'!R:R,1)*1)+(COUNTIF('BASE DE DATOS 2017'!R:R,2)*2/3)+(COUNTIF('BASE DE DATOS 2017'!R:R,3)*1/3))/(COUNTA('BASE DE DATOS 2017'!R:R)-2)))</f>
        <v>0.9</v>
      </c>
      <c r="G13" s="161">
        <v>0.77012018865053999</v>
      </c>
      <c r="H13" s="153">
        <f t="shared" si="4"/>
        <v>-9.9999999999999978E-2</v>
      </c>
    </row>
    <row r="14" spans="1:14" ht="16.350000000000001" customHeight="1" x14ac:dyDescent="0.25">
      <c r="A14">
        <v>11</v>
      </c>
      <c r="B14" s="125" t="s">
        <v>24</v>
      </c>
      <c r="C14" s="22"/>
      <c r="D14" s="93">
        <f>((COUNTIF('BASE DE DATOS 2015'!S:S,1)*1)+(COUNTIF('BASE DE DATOS 2015'!S:S,2)*2/3)+(COUNTIF('BASE DE DATOS 2015'!S:S,3)*1/3))/(COUNTA('BASE DE DATOS 2015'!S:S)-2)</f>
        <v>0.92592592592592604</v>
      </c>
      <c r="E14" s="93">
        <f>((COUNTIF('BASE DE DATOS 2016'!S:S,1)*1)+(COUNTIF('BASE DE DATOS 2016'!S:S,2)*2/3)+(COUNTIF('BASE DE DATOS 2016'!S:S,3)*1/3))/(COUNTA('BASE DE DATOS 2016'!S:S)-2)</f>
        <v>1</v>
      </c>
      <c r="F14" s="93">
        <f>((COUNTIF('BASE DE DATOS 2017'!S:S,1)*1)+(COUNTIF('BASE DE DATOS 2017'!S:S,2)*2/3)+(COUNTIF('BASE DE DATOS 2017'!S:S,3)*1/3))/(COUNTA('BASE DE DATOS 2017'!S:S)-2)</f>
        <v>0.8666666666666667</v>
      </c>
      <c r="G14" s="161">
        <v>0.72721740453369843</v>
      </c>
      <c r="H14" s="153">
        <f t="shared" si="4"/>
        <v>-0.1333333333333333</v>
      </c>
      <c r="K14" s="108"/>
    </row>
    <row r="15" spans="1:14" ht="16.350000000000001" customHeight="1" thickBot="1" x14ac:dyDescent="0.3">
      <c r="A15">
        <v>12</v>
      </c>
      <c r="B15" s="125" t="s">
        <v>25</v>
      </c>
      <c r="C15" s="22"/>
      <c r="D15" s="93">
        <f>AVERAGE(((COUNTIF('BASE DE DATOS 2015'!T:T,1)*1)/(COUNTA('BASE DE DATOS 2015'!T:T)-2)),(((COUNTIF('BASE DE DATOS 2015'!U:U,1)*1)+(COUNTIF('BASE DE DATOS 2015'!U:U,2)*1/2))/(COUNTA('BASE DE DATOS 2015'!U:U)-2)))</f>
        <v>1</v>
      </c>
      <c r="E15" s="93">
        <f>AVERAGE(((COUNTIF('BASE DE DATOS 2016'!T:T,1)*1)/(COUNTA('BASE DE DATOS 2016'!T:T)-2)),(((COUNTIF('BASE DE DATOS 2016'!U:U,1)*1)+(COUNTIF('BASE DE DATOS 2016'!U:U,2)*1/2))/(COUNTA('BASE DE DATOS 2016'!U:U)-2)))</f>
        <v>1</v>
      </c>
      <c r="F15" s="93">
        <f>AVERAGE(((COUNTIF('BASE DE DATOS 2017'!T:T,1)*1)/(COUNTA('BASE DE DATOS 2017'!T:T)-2)),(((COUNTIF('BASE DE DATOS 2017'!U:U,1)*1)+(COUNTIF('BASE DE DATOS 2017'!U:U,2)*1/2))/(COUNTA('BASE DE DATOS 2017'!U:U)-2)))</f>
        <v>0.81666666666666665</v>
      </c>
      <c r="G15" s="161">
        <v>0.53639890460976725</v>
      </c>
      <c r="H15" s="154">
        <f t="shared" si="4"/>
        <v>-0.18333333333333335</v>
      </c>
    </row>
    <row r="16" spans="1:14" ht="16.350000000000001" customHeight="1" thickBot="1" x14ac:dyDescent="0.3">
      <c r="A16">
        <v>13</v>
      </c>
      <c r="B16" s="126" t="s">
        <v>26</v>
      </c>
      <c r="C16" s="113"/>
      <c r="D16" s="114">
        <f>(((D21*(COUNTA('BASE DE DATOS 2015'!Y:Y)-2))+(D25*(COUNTA('BASE DE DATOS 2015'!AB:AB)-2)))/(COUNTA('BASE DE DATOS 2015'!V:V)+COUNTA('BASE DE DATOS 2015'!Y:Y)+COUNTA('BASE DE DATOS 2015'!AB:AB)-6))</f>
        <v>0.75308641975308654</v>
      </c>
      <c r="E16" s="114">
        <f>(((E21*(COUNTA('BASE DE DATOS 2016'!Y:Y)-2))+(E25*(COUNTA('BASE DE DATOS 2016'!AB:AB)-2)))/(COUNTA('BASE DE DATOS 2016'!V:V)+COUNTA('BASE DE DATOS 2016'!Y:Y)+COUNTA('BASE DE DATOS 2016'!AB:AB)-6))</f>
        <v>1</v>
      </c>
      <c r="F16" s="115">
        <f>(((F21*(COUNTA('BASE DE DATOS 2017'!Y:Y)-2))+(F25*(COUNTA('BASE DE DATOS 2017'!AB:AB)-2)))/(COUNTA('BASE DE DATOS 2017'!V:V)+COUNTA('BASE DE DATOS 2017'!Y:Y)+COUNTA('BASE DE DATOS 2017'!AB:AB)-6))</f>
        <v>0.92592592592592593</v>
      </c>
      <c r="G16" s="162">
        <v>0.80892422992757884</v>
      </c>
      <c r="H16" s="130"/>
    </row>
    <row r="17" spans="1:8" ht="16.350000000000001" customHeight="1" thickBot="1" x14ac:dyDescent="0.3">
      <c r="A17">
        <v>14</v>
      </c>
      <c r="B17" s="127" t="s">
        <v>248</v>
      </c>
      <c r="C17" s="116"/>
      <c r="D17" s="117" t="s">
        <v>263</v>
      </c>
      <c r="E17" s="117" t="s">
        <v>263</v>
      </c>
      <c r="F17" s="117" t="s">
        <v>263</v>
      </c>
      <c r="G17" s="160">
        <v>0.7994852858901198</v>
      </c>
      <c r="H17" s="155" t="s">
        <v>263</v>
      </c>
    </row>
    <row r="18" spans="1:8" ht="16.350000000000001" customHeight="1" x14ac:dyDescent="0.25">
      <c r="A18">
        <v>15</v>
      </c>
      <c r="B18" s="123" t="s">
        <v>28</v>
      </c>
      <c r="C18" s="122"/>
      <c r="D18" s="93" t="s">
        <v>263</v>
      </c>
      <c r="E18" s="93" t="s">
        <v>263</v>
      </c>
      <c r="F18" s="93" t="s">
        <v>263</v>
      </c>
      <c r="G18" s="161">
        <v>0.85733467606579394</v>
      </c>
      <c r="H18" s="130"/>
    </row>
    <row r="19" spans="1:8" ht="16.350000000000001" customHeight="1" x14ac:dyDescent="0.25">
      <c r="A19">
        <v>16</v>
      </c>
      <c r="B19" s="123" t="s">
        <v>249</v>
      </c>
      <c r="C19" s="122"/>
      <c r="D19" s="93" t="s">
        <v>263</v>
      </c>
      <c r="E19" s="93" t="s">
        <v>263</v>
      </c>
      <c r="F19" s="93" t="s">
        <v>263</v>
      </c>
      <c r="G19" s="161">
        <v>0.79389056730446461</v>
      </c>
      <c r="H19" s="130"/>
    </row>
    <row r="20" spans="1:8" ht="16.350000000000001" customHeight="1" thickBot="1" x14ac:dyDescent="0.3">
      <c r="A20">
        <v>17</v>
      </c>
      <c r="B20" s="123" t="s">
        <v>30</v>
      </c>
      <c r="C20" s="122"/>
      <c r="D20" s="93" t="s">
        <v>263</v>
      </c>
      <c r="E20" s="93" t="s">
        <v>263</v>
      </c>
      <c r="F20" s="93" t="s">
        <v>263</v>
      </c>
      <c r="G20" s="161">
        <v>0.74723061430010074</v>
      </c>
      <c r="H20" s="130"/>
    </row>
    <row r="21" spans="1:8" ht="16.350000000000001" customHeight="1" thickBot="1" x14ac:dyDescent="0.3">
      <c r="A21">
        <v>18</v>
      </c>
      <c r="B21" s="129" t="s">
        <v>250</v>
      </c>
      <c r="C21" s="116"/>
      <c r="D21" s="117">
        <f>AVERAGE(D22:D24)</f>
        <v>0.86111111111111116</v>
      </c>
      <c r="E21" s="117">
        <f>AVERAGE(E22:E24)</f>
        <v>1</v>
      </c>
      <c r="F21" s="117">
        <f>AVERAGE(F22:F24)</f>
        <v>0.92929292929292939</v>
      </c>
      <c r="G21" s="160">
        <v>0.8246340436967291</v>
      </c>
      <c r="H21" s="155">
        <f>F21-E21</f>
        <v>-7.0707070707070607E-2</v>
      </c>
    </row>
    <row r="22" spans="1:8" ht="16.350000000000001" customHeight="1" x14ac:dyDescent="0.25">
      <c r="A22">
        <v>19</v>
      </c>
      <c r="B22" s="123" t="s">
        <v>32</v>
      </c>
      <c r="C22" s="122"/>
      <c r="D22" s="93">
        <f>((COUNTIF('BASE DE DATOS 2015'!Y:Y,1)*1)+(COUNTIF('BASE DE DATOS 2015'!Y:Y,2)*2/3)+(COUNTIF('BASE DE DATOS 2015'!Y:Y,3)*1/3))/(COUNTA('BASE DE DATOS 2015'!Y:Y)-2)</f>
        <v>0.83333333333333337</v>
      </c>
      <c r="E22" s="93">
        <f>((COUNTIF('BASE DE DATOS 2016'!Y:Y,1)*1)+(COUNTIF('BASE DE DATOS 2016'!Y:Y,2)*2/3)+(COUNTIF('BASE DE DATOS 2016'!Y:Y,3)*1/3))/(COUNTA('BASE DE DATOS 2016'!Y:Y)-2)</f>
        <v>1</v>
      </c>
      <c r="F22" s="112">
        <f>((COUNTIF('BASE DE DATOS 2017'!Y:Y,1)*1)+(COUNTIF('BASE DE DATOS 2017'!Y:Y,2)*2/3)+(COUNTIF('BASE DE DATOS 2017'!Y:Y,3)*1/3))/(COUNTA('BASE DE DATOS 2017'!Y:Y)-2)</f>
        <v>0.90909090909090906</v>
      </c>
      <c r="G22" s="161">
        <v>0.80276134122287968</v>
      </c>
      <c r="H22" s="130"/>
    </row>
    <row r="23" spans="1:8" ht="16.350000000000001" customHeight="1" x14ac:dyDescent="0.25">
      <c r="A23">
        <v>20</v>
      </c>
      <c r="B23" s="123" t="s">
        <v>33</v>
      </c>
      <c r="C23" s="122"/>
      <c r="D23" s="93">
        <f>((COUNTIF('BASE DE DATOS 2015'!Z:Z,1)*1)+(COUNTIF('BASE DE DATOS 2015'!Z:Z,2)*2/3)+(COUNTIF('BASE DE DATOS 2015'!Z:Z,3)*1/3))/(COUNTA('BASE DE DATOS 2015'!Z:Z)-2)</f>
        <v>0.83333333333333337</v>
      </c>
      <c r="E23" s="93">
        <f>((COUNTIF('BASE DE DATOS 2016'!Z:Z,1)*1)+(COUNTIF('BASE DE DATOS 2016'!Z:Z,2)*2/3)+(COUNTIF('BASE DE DATOS 2016'!Z:Z,3)*1/3))/(COUNTA('BASE DE DATOS 2016'!Z:Z)-2)</f>
        <v>1</v>
      </c>
      <c r="F23" s="112">
        <f>((COUNTIF('BASE DE DATOS 2017'!Z:Z,1)*1)+(COUNTIF('BASE DE DATOS 2017'!Z:Z,2)*2/3)+(COUNTIF('BASE DE DATOS 2017'!Z:Z,3)*1/3))/(COUNTA('BASE DE DATOS 2017'!Z:Z)-2)</f>
        <v>0.93939393939393945</v>
      </c>
      <c r="G23" s="161">
        <v>0.82366863905325449</v>
      </c>
      <c r="H23" s="130"/>
    </row>
    <row r="24" spans="1:8" ht="16.350000000000001" customHeight="1" thickBot="1" x14ac:dyDescent="0.3">
      <c r="A24">
        <v>21</v>
      </c>
      <c r="B24" s="123" t="s">
        <v>251</v>
      </c>
      <c r="C24" s="122"/>
      <c r="D24" s="93">
        <f>((COUNTIF('BASE DE DATOS 2015'!AA:AA,1)*1)+(COUNTIF('BASE DE DATOS 2015'!AA:AA,2)*2/3)+(COUNTIF('BASE DE DATOS 2015'!AA:AA,3)*1/3))/(COUNTA('BASE DE DATOS 2015'!AA:AA)-COUNTIF('BASE DE DATOS 2015'!AA:AA,5)-2)</f>
        <v>0.91666666666666663</v>
      </c>
      <c r="E24" s="93">
        <f>((COUNTIF('BASE DE DATOS 2016'!AA:AA,1)*1)+(COUNTIF('BASE DE DATOS 2016'!AA:AA,2)*2/3)+(COUNTIF('BASE DE DATOS 2016'!AA:AA,3)*1/3))/(COUNTA('BASE DE DATOS 2016'!AA:AA)-COUNTIF('BASE DE DATOS 2016'!AA:AA,5)-2)</f>
        <v>1</v>
      </c>
      <c r="F24" s="112">
        <f>((COUNTIF('BASE DE DATOS 2017'!AA:AA,1)*1)+(COUNTIF('BASE DE DATOS 2017'!AA:AA,2)*2/3)+(COUNTIF('BASE DE DATOS 2017'!AA:AA,3)*1/3))/(COUNTA('BASE DE DATOS 2017'!AA:AA)-COUNTIF('BASE DE DATOS 2017'!AA:AA,5)-2)</f>
        <v>0.93939393939393945</v>
      </c>
      <c r="G24" s="161">
        <v>0.84747215081405303</v>
      </c>
      <c r="H24" s="130"/>
    </row>
    <row r="25" spans="1:8" ht="16.350000000000001" customHeight="1" thickBot="1" x14ac:dyDescent="0.3">
      <c r="A25">
        <v>22</v>
      </c>
      <c r="B25" s="129" t="s">
        <v>252</v>
      </c>
      <c r="C25" s="116"/>
      <c r="D25" s="117">
        <f>AVERAGE(D26:D27)</f>
        <v>0.66666666666666674</v>
      </c>
      <c r="E25" s="117">
        <f>AVERAGE(E26:E27)</f>
        <v>1</v>
      </c>
      <c r="F25" s="117">
        <f>AVERAGE(F26:F27)</f>
        <v>0.91666666666666663</v>
      </c>
      <c r="G25" s="160">
        <v>0.79286694101508925</v>
      </c>
      <c r="H25" s="155">
        <f>F25-E25</f>
        <v>-8.333333333333337E-2</v>
      </c>
    </row>
    <row r="26" spans="1:8" ht="16.350000000000001" customHeight="1" x14ac:dyDescent="0.25">
      <c r="A26">
        <v>23</v>
      </c>
      <c r="B26" s="125" t="s">
        <v>32</v>
      </c>
      <c r="C26" s="121"/>
      <c r="D26" s="93">
        <f>((COUNTIF('BASE DE DATOS 2015'!AB:AB,1)*1)+(COUNTIF('BASE DE DATOS 2015'!AB:AB,2)*2/3)+(COUNTIF('BASE DE DATOS 2015'!AB:AB,3)*1/3))/(COUNTA('BASE DE DATOS 2015'!AB:AB)-2)</f>
        <v>0.66666666666666674</v>
      </c>
      <c r="E26" s="93">
        <f>((COUNTIF('BASE DE DATOS 2016'!AB:AB,1)*1)+(COUNTIF('BASE DE DATOS 2016'!AB:AB,2)*2/3)+(COUNTIF('BASE DE DATOS 2016'!AB:AB,3)*1/3))/(COUNTA('BASE DE DATOS 2016'!AB:AB)-2)</f>
        <v>1</v>
      </c>
      <c r="F26" s="112">
        <f>((COUNTIF('BASE DE DATOS 2017'!AB:AB,1)*1)+(COUNTIF('BASE DE DATOS 2017'!AB:AB,2)*2/3)+(COUNTIF('BASE DE DATOS 2017'!AB:AB,3)*1/3))/(COUNTA('BASE DE DATOS 2017'!AB:AB)-2)</f>
        <v>0.91666666666666663</v>
      </c>
      <c r="G26" s="161">
        <v>0.78189300411522633</v>
      </c>
      <c r="H26" s="130"/>
    </row>
    <row r="27" spans="1:8" ht="16.350000000000001" customHeight="1" x14ac:dyDescent="0.25">
      <c r="A27">
        <v>24</v>
      </c>
      <c r="B27" s="125" t="s">
        <v>33</v>
      </c>
      <c r="C27" s="121"/>
      <c r="D27" s="93">
        <f>((COUNTIF('BASE DE DATOS 2015'!AC:AC,1)*1)+(COUNTIF('BASE DE DATOS 2015'!AC:AC,2)*2/3)+(COUNTIF('BASE DE DATOS 2015'!AC:AC,3)*1/3))/(COUNTA('BASE DE DATOS 2015'!AC:AC)-2)</f>
        <v>0.66666666666666674</v>
      </c>
      <c r="E27" s="93">
        <f>((COUNTIF('BASE DE DATOS 2016'!AC:AC,1)*1)+(COUNTIF('BASE DE DATOS 2016'!AC:AC,2)*2/3)+(COUNTIF('BASE DE DATOS 2016'!AC:AC,3)*1/3))/(COUNTA('BASE DE DATOS 2016'!AC:AC)-2)</f>
        <v>1</v>
      </c>
      <c r="F27" s="112">
        <f>((COUNTIF('BASE DE DATOS 2017'!AC3:AC708,1)*1)+(COUNTIF('BASE DE DATOS 2017'!AC3:AC708,2)*2/3)+(COUNTIF('BASE DE DATOS 2017'!AC3:AC708,3)*1/3))/COUNTA('BASE DE DATOS 2017'!AC3:AC708)</f>
        <v>0.91666666666666663</v>
      </c>
      <c r="G27" s="161">
        <v>0.80384087791495207</v>
      </c>
      <c r="H27" s="130"/>
    </row>
    <row r="28" spans="1:8" ht="16.350000000000001" customHeight="1" thickBot="1" x14ac:dyDescent="0.3">
      <c r="A28">
        <v>25</v>
      </c>
      <c r="B28" s="126" t="s">
        <v>36</v>
      </c>
      <c r="C28" s="113"/>
      <c r="D28" s="124">
        <f>AVERAGE(D29:D31)</f>
        <v>0.8580246913580245</v>
      </c>
      <c r="E28" s="133">
        <f>AVERAGE(E29:E31)</f>
        <v>0.8833333333333333</v>
      </c>
      <c r="F28" s="111">
        <f>AVERAGE(F29:F31)</f>
        <v>0.81851851851851853</v>
      </c>
      <c r="G28" s="160">
        <v>0.73961661341853036</v>
      </c>
      <c r="H28" s="130"/>
    </row>
    <row r="29" spans="1:8" ht="16.350000000000001" customHeight="1" x14ac:dyDescent="0.25">
      <c r="A29">
        <v>26</v>
      </c>
      <c r="B29" s="125" t="s">
        <v>37</v>
      </c>
      <c r="C29" s="121"/>
      <c r="D29" s="93">
        <f>AVERAGE((((COUNTIF('BASE DE DATOS 2015'!AD:AD,1)*1)+(COUNTIF('BASE DE DATOS 2015'!AD:AD,2)*2/3)+(COUNTIF('BASE DE DATOS 2015'!AD:AD,3)*1/3))/(COUNTA('BASE DE DATOS 2015'!AD:AD)-2)),(((COUNTIF('BASE DE DATOS 2015'!AE:AE,1)*1)+(COUNTIF('BASE DE DATOS 2015'!AE:AE,2)*2/3)+(COUNTIF('BASE DE DATOS 2015'!AE:AE,3)*1/3))/(COUNTA('BASE DE DATOS 2015'!AE:AE)-2)))</f>
        <v>0.88888888888888884</v>
      </c>
      <c r="E29" s="93">
        <f>AVERAGE((((COUNTIF('BASE DE DATOS 2016'!AD:AD,1)*1)+(COUNTIF('BASE DE DATOS 2016'!AD:AD,2)*2/3)+(COUNTIF('BASE DE DATOS 2016'!AD:AD,3)*1/3))/(COUNTA('BASE DE DATOS 2016'!AD:AD)-2)),(((COUNTIF('BASE DE DATOS 2016'!AE:AE,1)*1)+(COUNTIF('BASE DE DATOS 2016'!AE:AE,2)*2/3)+(COUNTIF('BASE DE DATOS 2016'!AE:AE,3)*1/3))/(COUNTA('BASE DE DATOS 2016'!AE:AE)-2)))</f>
        <v>0.98333333333333328</v>
      </c>
      <c r="F29" s="93">
        <f>AVERAGE((((COUNTIF('BASE DE DATOS 2017'!AD:AD,1)*1)+(COUNTIF('BASE DE DATOS 2017'!AD:AD,2)*2/3)+(COUNTIF('BASE DE DATOS 2017'!AD:AD,3)*1/3))/(COUNTA('BASE DE DATOS 2017'!AD:AD)-2)),(((COUNTIF('BASE DE DATOS 2017'!AE:AE,1)*1)+(COUNTIF('BASE DE DATOS 2017'!AE:AE,2)*2/3)+(COUNTIF('BASE DE DATOS 2017'!AE:AE,3)*1/3))/(COUNTA('BASE DE DATOS 2017'!AE:AE)-2)))</f>
        <v>0.94444444444444442</v>
      </c>
      <c r="G29" s="161">
        <v>0.77993305948577518</v>
      </c>
      <c r="H29" s="152">
        <f>F29-E29</f>
        <v>-3.8888888888888862E-2</v>
      </c>
    </row>
    <row r="30" spans="1:8" ht="16.350000000000001" customHeight="1" x14ac:dyDescent="0.25">
      <c r="A30">
        <v>27</v>
      </c>
      <c r="B30" s="125" t="s">
        <v>38</v>
      </c>
      <c r="C30" s="121"/>
      <c r="D30" s="93">
        <f>((COUNTIF('BASE DE DATOS 2015'!AF:AF,1)*1)+(COUNTIF('BASE DE DATOS 2015'!AF:AF,2)*2/3)+(COUNTIF('BASE DE DATOS 2015'!AF:AF,3)*1/3))/(COUNTA('BASE DE DATOS 2015'!AF:AF)-2)</f>
        <v>0.96296296296296291</v>
      </c>
      <c r="E30" s="93">
        <f>((COUNTIF('BASE DE DATOS 2016'!AF:AF,1)*1)+(COUNTIF('BASE DE DATOS 2016'!AF:AF,2)*2/3)+(COUNTIF('BASE DE DATOS 2016'!AF:AF,3)*1/3))/(COUNTA('BASE DE DATOS 2016'!AF:AF)-2)</f>
        <v>0.83333333333333337</v>
      </c>
      <c r="F30" s="93">
        <f>((COUNTIF('BASE DE DATOS 2017'!AF:AF,1)*1)+(COUNTIF('BASE DE DATOS 2017'!AF:AF,2)*2/3)+(COUNTIF('BASE DE DATOS 2017'!AF:AF,3)*1/3))/(COUNTA('BASE DE DATOS 2017'!AF:AF)-2)</f>
        <v>0.9555555555555556</v>
      </c>
      <c r="G30" s="161">
        <v>0.83447436482580251</v>
      </c>
      <c r="H30" s="153">
        <f>F30-E30</f>
        <v>0.12222222222222223</v>
      </c>
    </row>
    <row r="31" spans="1:8" ht="16.350000000000001" customHeight="1" thickBot="1" x14ac:dyDescent="0.3">
      <c r="A31">
        <v>28</v>
      </c>
      <c r="B31" s="125" t="s">
        <v>39</v>
      </c>
      <c r="C31" s="121"/>
      <c r="D31" s="93">
        <f>AVERAGE((((COUNTIF('BASE DE DATOS 2015'!AG:AG,2)*1/3)+(COUNTIF('BASE DE DATOS 2015'!AG:AG,3)*2/3)+(COUNTIF('BASE DE DATOS 2015'!AG:AG,4)*1))/(COUNTA('BASE DE DATOS 2015'!AG:AG)-2)),(((COUNTIF('BASE DE DATOS 2015'!AH:AH,1)*1)+(COUNTIF('BASE DE DATOS 2015'!AH:AH,2)*2/3)+(COUNTIF('BASE DE DATOS 2015'!AH:AH,3)*1/3))/(COUNTA('BASE DE DATOS 2015'!AH:AH)-2)))</f>
        <v>0.7222222222222221</v>
      </c>
      <c r="E31" s="93">
        <f>AVERAGE((((COUNTIF('BASE DE DATOS 2016'!AG:AG,2)*1/3)+(COUNTIF('BASE DE DATOS 2016'!AG:AG,3)*2/3)+(COUNTIF('BASE DE DATOS 2016'!AG:AG,4)*1))/(COUNTA('BASE DE DATOS 2016'!AG:AG)-2)),(((COUNTIF('BASE DE DATOS 2016'!AH:AH,1)*1)+(COUNTIF('BASE DE DATOS 2016'!AH:AH,2)*2/3)+(COUNTIF('BASE DE DATOS 2016'!AH:AH,3)*1/3))/(COUNTA('BASE DE DATOS 2016'!AH:AH)-2)))</f>
        <v>0.83333333333333337</v>
      </c>
      <c r="F31" s="93">
        <f>AVERAGE((((COUNTIF('BASE DE DATOS 2017'!AG:AG,2)*1/3)+(COUNTIF('BASE DE DATOS 2017'!AG:AG,3)*2/3)+(COUNTIF('BASE DE DATOS 2017'!AG:AG,4)*1))/(COUNTA('BASE DE DATOS 2017'!AG:AG)-2)),(((COUNTIF('BASE DE DATOS 2017'!AH:AH,1)*1)+(COUNTIF('BASE DE DATOS 2017'!AH:AH,2)*2/3)+(COUNTIF('BASE DE DATOS 2017'!AH:AH,3)*1/3))/(COUNTA('BASE DE DATOS 2017'!AH:AH)-2)))</f>
        <v>0.55555555555555558</v>
      </c>
      <c r="G31" s="161">
        <v>0.60444241594401338</v>
      </c>
      <c r="H31" s="154">
        <f>F31-E31</f>
        <v>-0.27777777777777779</v>
      </c>
    </row>
    <row r="32" spans="1:8" ht="16.350000000000001" customHeight="1" thickBot="1" x14ac:dyDescent="0.3">
      <c r="A32">
        <v>29</v>
      </c>
      <c r="B32" s="126" t="s">
        <v>40</v>
      </c>
      <c r="C32" s="94"/>
      <c r="D32" s="124">
        <f>AVERAGE(D33:D36)</f>
        <v>0.82870370370370372</v>
      </c>
      <c r="E32" s="133">
        <f>AVERAGE(E33:E36)</f>
        <v>0.96388888888888891</v>
      </c>
      <c r="F32" s="111">
        <f>AVERAGE(F33:F36)</f>
        <v>0.88287037037037031</v>
      </c>
      <c r="G32" s="160">
        <v>0.78140782185321067</v>
      </c>
      <c r="H32" s="130"/>
    </row>
    <row r="33" spans="1:8" ht="15" customHeight="1" x14ac:dyDescent="0.25">
      <c r="A33">
        <v>30</v>
      </c>
      <c r="B33" s="125" t="s">
        <v>41</v>
      </c>
      <c r="C33" s="121"/>
      <c r="D33" s="93">
        <f>AVERAGE((((COUNTIF('BASE DE DATOS 2015'!AI:AI,1)*1)+(COUNTIF('BASE DE DATOS 2015'!AI:AI,2)*2/3)+(COUNTIF('BASE DE DATOS 2015'!AI:AI,3)*1/3))/(COUNTA('BASE DE DATOS 2015'!AI:AI)-2)),(((COUNTIF('BASE DE DATOS 2015'!AJ:AJ,1)*1)+(COUNTIF('BASE DE DATOS 2015'!AJ:AJ,2)*2/3)+(COUNTIF('BASE DE DATOS 2015'!AJ:AJ,3)*1/3))/(COUNTA('BASE DE DATOS 2015'!AJ:AJ)-2)),(((COUNTIF('BASE DE DATOS 2015'!AK:AK,1)*1)+(COUNTIF('BASE DE DATOS 2015'!AK:AK,2)*2/3)+(COUNTIF('BASE DE DATOS 2015'!AK:AK,3)*1/3))/(COUNTA('BASE DE DATOS 2015'!AK:AK)-2)))</f>
        <v>0.9135802469135802</v>
      </c>
      <c r="E33" s="93">
        <f>AVERAGE((((COUNTIF('BASE DE DATOS 2016'!AI:AI,1)*1)+(COUNTIF('BASE DE DATOS 2016'!AI:AI,2)*2/3)+(COUNTIF('BASE DE DATOS 2016'!AI:AI,3)*1/3))/(COUNTA('BASE DE DATOS 2016'!AI:AI)-2)),(((COUNTIF('BASE DE DATOS 2016'!AJ:AJ,1)*1)+(COUNTIF('BASE DE DATOS 2016'!AJ:AJ,2)*2/3)+(COUNTIF('BASE DE DATOS 2016'!AJ:AJ,3)*1/3))/(COUNTA('BASE DE DATOS 2016'!AJ:AJ)-2)),(((COUNTIF('BASE DE DATOS 2016'!AK:AK,1)*1)+(COUNTIF('BASE DE DATOS 2016'!AK:AK,2)*2/3)+(COUNTIF('BASE DE DATOS 2016'!AK:AK,3)*1/3))/(COUNTA('BASE DE DATOS 2016'!AK:AK)-2)))</f>
        <v>1</v>
      </c>
      <c r="F33" s="93">
        <f>AVERAGE((((COUNTIF('BASE DE DATOS 2017'!AI:AI,1)*1)+(COUNTIF('BASE DE DATOS 2017'!AI:AI,2)*2/3)+(COUNTIF('BASE DE DATOS 2017'!AI:AI,3)*1/3))/(COUNTA('BASE DE DATOS 2017'!AI:AI)-2)),(((COUNTIF('BASE DE DATOS 2017'!AJ:AJ,1)*1)+(COUNTIF('BASE DE DATOS 2017'!AJ:AJ,2)*2/3)+(COUNTIF('BASE DE DATOS 2017'!AJ:AJ,3)*1/3))/(COUNTA('BASE DE DATOS 2017'!AJ:AJ)-2)),(((COUNTIF('BASE DE DATOS 2017'!AK:AK,1)*1)+(COUNTIF('BASE DE DATOS 2017'!AK:AK,2)*2/3)+(COUNTIF('BASE DE DATOS 2017'!AK:AK,3)*1/3))/(COUNTA('BASE DE DATOS 2017'!AK:AK)-2)))</f>
        <v>0.93333333333333324</v>
      </c>
      <c r="G33" s="161">
        <v>0.8338151021857092</v>
      </c>
      <c r="H33" s="152">
        <f>F33-E33</f>
        <v>-6.6666666666666763E-2</v>
      </c>
    </row>
    <row r="34" spans="1:8" ht="15" customHeight="1" x14ac:dyDescent="0.25">
      <c r="A34">
        <v>31</v>
      </c>
      <c r="B34" s="125" t="s">
        <v>110</v>
      </c>
      <c r="C34" s="121"/>
      <c r="D34" s="93">
        <f>AVERAGE((((COUNTIF('BASE DE DATOS 2015'!AL:AL,1)*1)+(COUNTIF('BASE DE DATOS 2015'!AL:AL,2)*2/3)+(COUNTIF('BASE DE DATOS 2015'!AL:AL,3)*1/3))/(COUNTA('BASE DE DATOS 2015'!AL:AL)-2)),((COUNTIF('BASE DE DATOS 2015'!AM:AM,2)*1)/((COUNTA('BASE DE DATOS 2015'!AM:AM)-2))))</f>
        <v>0.61111111111111116</v>
      </c>
      <c r="E34" s="93">
        <f>AVERAGE((((COUNTIF('BASE DE DATOS 2016'!AL:AL,1)*1)+(COUNTIF('BASE DE DATOS 2016'!AL:AL,2)*2/3)+(COUNTIF('BASE DE DATOS 2016'!AL:AL,3)*1/3))/(COUNTA('BASE DE DATOS 2016'!AL:AL)-2)),((COUNTIF('BASE DE DATOS 2016'!AM:AM,2)*1)/((COUNTA('BASE DE DATOS 2016'!AM:AM)-2))))</f>
        <v>1</v>
      </c>
      <c r="F34" s="93">
        <f>AVERAGE((((COUNTIF('BASE DE DATOS 2017'!AL:AL,1)*1)+(COUNTIF('BASE DE DATOS 2017'!AL:AL,2)*2/3)+(COUNTIF('BASE DE DATOS 2017'!AL:AL,3)*1/3))/(COUNTA('BASE DE DATOS 2017'!AL:AL)-2)),((COUNTIF('BASE DE DATOS 2017'!AM:AM,2)*1)/(COUNTA('BASE DE DATOS 2017'!AM:AM)-2)))</f>
        <v>0.75555555555555554</v>
      </c>
      <c r="G34" s="161">
        <v>0.69990871748060246</v>
      </c>
      <c r="H34" s="153">
        <f>F34-E34</f>
        <v>-0.24444444444444446</v>
      </c>
    </row>
    <row r="35" spans="1:8" ht="15" customHeight="1" x14ac:dyDescent="0.25">
      <c r="A35">
        <v>32</v>
      </c>
      <c r="B35" s="125" t="s">
        <v>43</v>
      </c>
      <c r="C35" s="121"/>
      <c r="D35" s="93">
        <f>((COUNTIF('BASE DE DATOS 2015'!AN:AN,1)*1)+(COUNTIF('BASE DE DATOS 2015'!AN:AN,2)*2/3)+(COUNTIF('BASE DE DATOS 2015'!AN:AN,3)*1/3))/(COUNTA('BASE DE DATOS 2015'!AN:AN)-2)</f>
        <v>0.88888888888888884</v>
      </c>
      <c r="E35" s="93">
        <f>((COUNTIF('BASE DE DATOS 2016'!AN:AN,1)*1)+(COUNTIF('BASE DE DATOS 2016'!AN:AN,2)*2/3)+(COUNTIF('BASE DE DATOS 2016'!AN:AN,3)*1/3))/(COUNTA('BASE DE DATOS 2016'!AN:AN)-2)</f>
        <v>1</v>
      </c>
      <c r="F35" s="93">
        <f>((COUNTIF('BASE DE DATOS 2017'!AN:AN,1)*1)+(COUNTIF('BASE DE DATOS 2017'!AN:AN,2)*2/3)+(COUNTIF('BASE DE DATOS 2017'!AN:AN,3)*1/3))/(COUNTA('BASE DE DATOS 2017'!AN:AN)-2)</f>
        <v>0.91111111111111109</v>
      </c>
      <c r="G35" s="161">
        <v>0.80054769511638524</v>
      </c>
      <c r="H35" s="153">
        <f>F35-E35</f>
        <v>-8.8888888888888906E-2</v>
      </c>
    </row>
    <row r="36" spans="1:8" ht="15" customHeight="1" thickBot="1" x14ac:dyDescent="0.3">
      <c r="A36">
        <v>33</v>
      </c>
      <c r="B36" s="125" t="s">
        <v>44</v>
      </c>
      <c r="C36" s="121"/>
      <c r="D36" s="93">
        <f>AVERAGE(((COUNTIF('BASE DE DATOS 2015'!AO:AO,1)*1)+(COUNTIF('BASE DE DATOS 2015'!AO:AO,2)*2/3)+(COUNTIF('BASE DE DATOS 2015'!AO:AO,3)*1/3))/(COUNTA('BASE DE DATOS 2015'!AO:AO)-2),(((COUNTIF('BASE DE DATOS 2015'!AP:AP,1)*1)+(COUNTIF('BASE DE DATOS 2015'!AP:AP,2)*2/3)+(COUNTIF('BASE DE DATOS 2015'!AP:AP,3)*1/3))/(COUNTA('BASE DE DATOS 2015'!AP:AP)-2)),(((COUNTIF('BASE DE DATOS 2015'!AZ:AZ,1)*1)+(COUNTIF('BASE DE DATOS 2015'!AZ:AZ,2)*1/2)+(COUNTIF('BASE DE DATOS 2015'!AZ:AZ,3)*1/4))/(COUNTIF('BASE DE DATOS 2015'!AZ:AZ,1)+COUNTIF('BASE DE DATOS 2015'!AZ:AZ,2)+COUNTIF('BASE DE DATOS 2015'!AZ:AZ,3)+COUNTIF('BASE DE DATOS 2015'!AZ:AZ,4))))</f>
        <v>0.90123456790123446</v>
      </c>
      <c r="E36" s="93">
        <f>AVERAGE(((COUNTIF('BASE DE DATOS 2016'!AO:AO,1)*1)+(COUNTIF('BASE DE DATOS 2016'!AO:AO,2)*2/3)+(COUNTIF('BASE DE DATOS 2016'!AO:AO,3)*1/3))/(COUNTA('BASE DE DATOS 2016'!AO:AO)-2),(((COUNTIF('BASE DE DATOS 2016'!AP:AP,1)*1)+(COUNTIF('BASE DE DATOS 2016'!AP:AP,2)*2/3)+(COUNTIF('BASE DE DATOS 2016'!AP:AP,3)*1/3))/(COUNTA('BASE DE DATOS 2016'!AP:AP)-2)),(((COUNTIF('BASE DE DATOS 2016'!AZ:AZ,1)*1)+(COUNTIF('BASE DE DATOS 2016'!AZ:AZ,2)*1/2)+(COUNTIF('BASE DE DATOS 2016'!AZ:AZ,3)*1/4))/(COUNTIF('BASE DE DATOS 2016'!AZ:AZ,1)+COUNTIF('BASE DE DATOS 2016'!AZ:AZ,2)+COUNTIF('BASE DE DATOS 2016'!AZ:AZ,3)+COUNTIF('BASE DE DATOS 2016'!AZ:AZ,4))))</f>
        <v>0.85555555555555562</v>
      </c>
      <c r="F36" s="93">
        <f>AVERAGE(((COUNTIF('BASE DE DATOS 2017'!AO:AO,1)*1)+(COUNTIF('BASE DE DATOS 2017'!AO:AO,2)*2/3)+(COUNTIF('BASE DE DATOS 2017'!AO:AO,3)*1/3))/(COUNTA('BASE DE DATOS 2017'!AO:AO)-2),(((COUNTIF('BASE DE DATOS 2017'!AP:AP,1)*1)+(COUNTIF('BASE DE DATOS 2017'!AP:AP,2)*2/3)+(COUNTIF('BASE DE DATOS 2017'!AP:AP,3)*1/3))/(COUNTA('BASE DE DATOS 2017'!AP:AP)-2)),(((COUNTIF('BASE DE DATOS 2017'!AZ:AZ,1)*1)+(COUNTIF('BASE DE DATOS 2017'!AZ:AZ,2)*1/2)+(COUNTIF('BASE DE DATOS 2017'!AZ:AZ,3)*1/4))/(COUNTIF('BASE DE DATOS 2017'!AZ:AZ,1)+COUNTIF('BASE DE DATOS 2017'!AZ:AZ,2)+COUNTIF('BASE DE DATOS 2017'!AZ:AZ,3)+COUNTIF('BASE DE DATOS 2017'!AZ:AZ,4))))</f>
        <v>0.93148148148148147</v>
      </c>
      <c r="G36" s="161">
        <v>0.79135977263014612</v>
      </c>
      <c r="H36" s="154">
        <f>F36-E36</f>
        <v>7.5925925925925841E-2</v>
      </c>
    </row>
    <row r="37" spans="1:8" ht="15" customHeight="1" thickBot="1" x14ac:dyDescent="0.3">
      <c r="A37">
        <v>34</v>
      </c>
      <c r="B37" s="126" t="s">
        <v>45</v>
      </c>
      <c r="C37" s="94"/>
      <c r="D37" s="124">
        <f>AVERAGE(D38:D43)</f>
        <v>0.84104938271604945</v>
      </c>
      <c r="E37" s="133">
        <f>AVERAGE(E38:E43)</f>
        <v>0.93055555555555569</v>
      </c>
      <c r="F37" s="111">
        <f>AVERAGE(F38:F43)</f>
        <v>0.79259259259259263</v>
      </c>
      <c r="G37" s="160">
        <v>0.79696295451087795</v>
      </c>
      <c r="H37" s="130"/>
    </row>
    <row r="38" spans="1:8" ht="15" customHeight="1" x14ac:dyDescent="0.25">
      <c r="A38">
        <v>35</v>
      </c>
      <c r="B38" s="125" t="s">
        <v>46</v>
      </c>
      <c r="C38" s="121"/>
      <c r="D38" s="93">
        <f>AVERAGE((((COUNTIF('BASE DE DATOS 2015'!AQ:AQ,1)*1)+(COUNTIF('BASE DE DATOS 2015'!AQ:AQ,2)*2/3)+(COUNTIF('BASE DE DATOS 2015'!AQ:AQ,3)*1/3))/(COUNTA('BASE DE DATOS 2015'!AQ:AQ)-2)),((COUNTIF('BASE DE DATOS 2015'!AR:AR,5)*1)/(COUNTA('BASE DE DATOS 2015'!AR:AR)-2)))</f>
        <v>0.66666666666666663</v>
      </c>
      <c r="E38" s="93">
        <f>AVERAGE((((COUNTIF('BASE DE DATOS 2016'!AQ:AQ,1)*1)+(COUNTIF('BASE DE DATOS 2016'!AQ:AQ,2)*2/3)+(COUNTIF('BASE DE DATOS 2016'!AQ:AQ,3)*1/3))/(COUNTA('BASE DE DATOS 2016'!AQ:AQ)-2)),((COUNTIF('BASE DE DATOS 2016'!AR:AR,5)*1)/(COUNTA('BASE DE DATOS 2016'!AR:AR)-2)))</f>
        <v>1</v>
      </c>
      <c r="F38" s="93">
        <f>AVERAGE((((COUNTIF('BASE DE DATOS 2017'!AQ:AQ,1)*1)+(COUNTIF('BASE DE DATOS 2017'!AQ:AQ,2)*2/3)+(COUNTIF('BASE DE DATOS 2017'!AQ:AQ,3)*1/3))/(COUNTA('BASE DE DATOS 2017'!AQ:AQ)-2)),((COUNTIF('BASE DE DATOS 2017'!AR:AR,5)*1)/(COUNTA('BASE DE DATOS 2017'!AR:AR)-2)))</f>
        <v>0.61111111111111116</v>
      </c>
      <c r="G38" s="161">
        <v>0.81446827932450927</v>
      </c>
      <c r="H38" s="152">
        <f t="shared" ref="H38:H43" si="7">F38-E38</f>
        <v>-0.38888888888888884</v>
      </c>
    </row>
    <row r="39" spans="1:8" x14ac:dyDescent="0.25">
      <c r="A39">
        <v>36</v>
      </c>
      <c r="B39" s="125" t="s">
        <v>47</v>
      </c>
      <c r="C39" s="121"/>
      <c r="D39" s="93">
        <f>AVERAGE((((COUNTIF('BASE DE DATOS 2015'!AV:AV,1)*1)+(COUNTIF('BASE DE DATOS 2015'!AV:AV,2)*2/3)+(COUNTIF('BASE DE DATOS 2015'!AV:AV,3)*1/3))/(COUNTA('BASE DE DATOS 2015'!AV:AV)-2)),(((COUNTIF('BASE DE DATOS 2015'!AW:AW,1)*1)+(COUNTIF('BASE DE DATOS 2015'!AW:AW,2)*2/3)+(COUNTIF('BASE DE DATOS 2015'!AW:AW,3)*1/3))/(COUNTA('BASE DE DATOS 2015'!AW:AW)-2)))</f>
        <v>0.9814814814814814</v>
      </c>
      <c r="E39" s="93">
        <f>AVERAGE((((COUNTIF('BASE DE DATOS 2016'!AV:AV,1)*1)+(COUNTIF('BASE DE DATOS 2016'!AV:AV,2)*2/3)+(COUNTIF('BASE DE DATOS 2016'!AV:AV,3)*1/3))/(COUNTA('BASE DE DATOS 2016'!AV:AV)-2)),(((COUNTIF('BASE DE DATOS 2016'!AW:AW,1)*1)+(COUNTIF('BASE DE DATOS 2016'!AW:AW,2)*2/3)+(COUNTIF('BASE DE DATOS 2016'!AW:AW,3)*1/3))/(COUNTA('BASE DE DATOS 2016'!AW:AW)-2)))</f>
        <v>0.78333333333333333</v>
      </c>
      <c r="F39" s="93">
        <f>AVERAGE((((COUNTIF('BASE DE DATOS 2017'!AV:AV,1)*1)+(COUNTIF('BASE DE DATOS 2017'!AV:AV,2)*2/3)+(COUNTIF('BASE DE DATOS 2017'!AV:AV,3)*1/3))/(COUNTA('BASE DE DATOS 2017'!AV:AV)-2)),(((COUNTIF('BASE DE DATOS 2017'!AW:AW,1)*1)+(COUNTIF('BASE DE DATOS 2017'!AW:AW,2)*2/3)+(COUNTIF('BASE DE DATOS 2017'!AW:AW,3)*1/3))/(COUNTA('BASE DE DATOS 2017'!AW:AW)-2)))</f>
        <v>0.95555555555555549</v>
      </c>
      <c r="G39" s="161">
        <v>0.88429940666362383</v>
      </c>
      <c r="H39" s="153">
        <f t="shared" si="7"/>
        <v>0.17222222222222217</v>
      </c>
    </row>
    <row r="40" spans="1:8" x14ac:dyDescent="0.25">
      <c r="A40">
        <v>37</v>
      </c>
      <c r="B40" s="125" t="s">
        <v>128</v>
      </c>
      <c r="C40" s="121"/>
      <c r="D40" s="93">
        <f>((COUNTIF('BASE DE DATOS 2015'!AS:AS,1)*1)+(COUNTIF('BASE DE DATOS 2015'!AS:AS,2)*2/3)+(COUNTIF('BASE DE DATOS 2015'!AS:AS,3)*1/3))/(COUNTA('BASE DE DATOS 2015'!AS:AS)-2)</f>
        <v>1</v>
      </c>
      <c r="E40" s="93">
        <f>((COUNTIF('BASE DE DATOS 2016'!AS:AS,1)*1)+(COUNTIF('BASE DE DATOS 2016'!AS:AS,2)*2/3)+(COUNTIF('BASE DE DATOS 2016'!AS:AS,3)*1/3))/(COUNTA('BASE DE DATOS 2016'!AS:AS)-2)</f>
        <v>1</v>
      </c>
      <c r="F40" s="93">
        <f>((COUNTIF('BASE DE DATOS 2017'!AS3:AS45708,1)*1)+(COUNTIF('BASE DE DATOS 2017'!AS3:AS45708,2)*2/3)+(COUNTIF('BASE DE DATOS 2017'!AS3:AS45708,3)*1/3))/COUNTA('BASE DE DATOS 2017'!AS3:AS45708)</f>
        <v>0.82222222222222219</v>
      </c>
      <c r="G40" s="161">
        <v>0.85653430701354027</v>
      </c>
      <c r="H40" s="153">
        <f t="shared" si="7"/>
        <v>-0.17777777777777781</v>
      </c>
    </row>
    <row r="41" spans="1:8" x14ac:dyDescent="0.25">
      <c r="A41">
        <v>38</v>
      </c>
      <c r="B41" s="125" t="s">
        <v>49</v>
      </c>
      <c r="C41" s="121"/>
      <c r="D41" s="93">
        <f>((COUNTIF('BASE DE DATOS 2015'!AT:AT,1)*1)+(COUNTIF('BASE DE DATOS 2015'!AT:AT,2)*2/3)+(COUNTIF('BASE DE DATOS 2015'!AT:AT,3)*1/3))/(COUNTA('BASE DE DATOS 2015'!AT:AT)-2)</f>
        <v>0.92592592592592604</v>
      </c>
      <c r="E41" s="93">
        <f>((COUNTIF('BASE DE DATOS 2016'!AT:AT,1)*1)+(COUNTIF('BASE DE DATOS 2016'!AT:AT,2)*2/3)+(COUNTIF('BASE DE DATOS 2016'!AT:AT,3)*1/3))/(COUNTA('BASE DE DATOS 2016'!AT:AT)-2)</f>
        <v>0.9</v>
      </c>
      <c r="F41" s="93">
        <f>((COUNTIF('BASE DE DATOS 2017'!AT3:AT45708,1)*1)+(COUNTIF('BASE DE DATOS 2017'!AT3:AT45708,2)*2/3)+(COUNTIF('BASE DE DATOS 2017'!AT3:AT45708,3)*1/3))/COUNTA('BASE DE DATOS 2017'!AT3:AT45708)</f>
        <v>0.93333333333333335</v>
      </c>
      <c r="G41" s="161">
        <v>0.82488970028906139</v>
      </c>
      <c r="H41" s="153">
        <f t="shared" si="7"/>
        <v>3.3333333333333326E-2</v>
      </c>
    </row>
    <row r="42" spans="1:8" x14ac:dyDescent="0.25">
      <c r="A42">
        <v>39</v>
      </c>
      <c r="B42" s="123" t="s">
        <v>50</v>
      </c>
      <c r="C42" s="122"/>
      <c r="D42" s="93">
        <f>((COUNTIF('BASE DE DATOS 2015'!AU:AU,2)*1))/(COUNTA('BASE DE DATOS 2015'!AU:AU)-2)</f>
        <v>0.55555555555555558</v>
      </c>
      <c r="E42" s="93">
        <f>((COUNTIF('BASE DE DATOS 2016'!AU:AU,2)*1))/(COUNTA('BASE DE DATOS 2016'!AU:AU)-2)</f>
        <v>1</v>
      </c>
      <c r="F42" s="93">
        <f>((COUNTIF('BASE DE DATOS 2017'!AU:AU,2)*1))/(COUNTA('BASE DE DATOS 2017'!AU:AU)-2)</f>
        <v>0.6</v>
      </c>
      <c r="G42" s="161">
        <v>0.83158375171154719</v>
      </c>
      <c r="H42" s="153">
        <f t="shared" si="7"/>
        <v>-0.4</v>
      </c>
    </row>
    <row r="43" spans="1:8" ht="15.75" thickBot="1" x14ac:dyDescent="0.3">
      <c r="A43">
        <v>40</v>
      </c>
      <c r="B43" s="123" t="s">
        <v>51</v>
      </c>
      <c r="C43" s="122"/>
      <c r="D43" s="93">
        <f>AVERAGE(((COUNTIF('BASE DE DATOS 2015'!AX:AX,1)*1)/(COUNTA('BASE DE DATOS 2015'!AX:AX)-2)),(((COUNTIF('BASE DE DATOS 2015'!AY:AY,1)*3/4)+(COUNTIF('BASE DE DATOS 2015'!AY:AY,2)*1/2)+(COUNTIF('BASE DE DATOS 2015'!AY:AY,3)*1))/(COUNTA('BASE DE DATOS 2015'!AY:AY)-2)))</f>
        <v>0.91666666666666674</v>
      </c>
      <c r="E43" s="93">
        <f>AVERAGE(((COUNTIF('BASE DE DATOS 2016'!AX:AX,1)*1)/(COUNTA('BASE DE DATOS 2016'!AX:AX)-2)),(((COUNTIF('BASE DE DATOS 2016'!AY:AY,1)*3/4)+(COUNTIF('BASE DE DATOS 2016'!AY:AY,2)*1/2)+(COUNTIF('BASE DE DATOS 2016'!AY:AY,3)*1))/(COUNTA('BASE DE DATOS 2016'!AY:AY)-2)))</f>
        <v>0.9</v>
      </c>
      <c r="F43" s="93">
        <f>AVERAGE(((COUNTIF('BASE DE DATOS 2017'!AX:AX,1)*1)/(COUNTA('BASE DE DATOS 2017'!AX:AX)-2)),(((COUNTIF('BASE DE DATOS 2017'!AY:AY,1)*3/4)+(COUNTIF('BASE DE DATOS 2017'!AY:AY,2)*1/2)+(COUNTIF('BASE DE DATOS 2017'!AY:AY,3)*1))/(COUNTA('BASE DE DATOS 2017'!AY:AY)-2)))</f>
        <v>0.83333333333333326</v>
      </c>
      <c r="G43" s="161">
        <v>0.57000228206298487</v>
      </c>
      <c r="H43" s="154">
        <f t="shared" si="7"/>
        <v>-6.6666666666666763E-2</v>
      </c>
    </row>
    <row r="44" spans="1:8" ht="15.75" thickBot="1" x14ac:dyDescent="0.3">
      <c r="B44" s="128" t="s">
        <v>253</v>
      </c>
      <c r="C44" s="118"/>
      <c r="D44" s="119">
        <f>AVERAGE(D4,D8,D16,D28,D32,D37)</f>
        <v>0.83450911228689006</v>
      </c>
      <c r="E44" s="119">
        <f>AVERAGE(E4,E8,E16,E28,E32,E37)</f>
        <v>0.94947089947089947</v>
      </c>
      <c r="F44" s="120">
        <f>AVERAGE(F4,F8,F16,F28,F32,F37)</f>
        <v>0.86429673721340394</v>
      </c>
      <c r="G44" s="163">
        <v>0.76362479110847492</v>
      </c>
      <c r="H44" s="130"/>
    </row>
  </sheetData>
  <sortState ref="A4:F43">
    <sortCondition ref="A4:A43"/>
  </sortState>
  <mergeCells count="1">
    <mergeCell ref="B1:F2"/>
  </mergeCells>
  <conditionalFormatting sqref="H4:H44">
    <cfRule type="top10" dxfId="0" priority="1" bottom="1" rank="5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="90" zoomScalePageLayoutView="90" workbookViewId="0">
      <selection activeCell="C16" sqref="C16"/>
    </sheetView>
  </sheetViews>
  <sheetFormatPr baseColWidth="10" defaultRowHeight="15" x14ac:dyDescent="0.25"/>
  <cols>
    <col min="1" max="1" width="6.85546875" style="95" customWidth="1"/>
    <col min="2" max="2" width="4" style="47" customWidth="1"/>
    <col min="3" max="3" width="44.28515625" customWidth="1"/>
    <col min="4" max="4" width="11.85546875" bestFit="1" customWidth="1"/>
    <col min="5" max="5" width="10.5703125" customWidth="1"/>
    <col min="6" max="6" width="11.85546875" bestFit="1" customWidth="1"/>
    <col min="8" max="8" width="9.28515625" customWidth="1"/>
  </cols>
  <sheetData>
    <row r="3" spans="1:6" x14ac:dyDescent="0.25">
      <c r="B3" s="18"/>
      <c r="C3" s="317" t="s">
        <v>53</v>
      </c>
      <c r="D3" s="317"/>
      <c r="E3" s="317"/>
      <c r="F3" s="318"/>
    </row>
    <row r="4" spans="1:6" ht="33" customHeight="1" x14ac:dyDescent="0.25">
      <c r="B4" s="18">
        <v>8</v>
      </c>
      <c r="C4" s="319" t="s">
        <v>177</v>
      </c>
      <c r="D4" s="319"/>
      <c r="E4" s="319"/>
      <c r="F4" s="320"/>
    </row>
    <row r="5" spans="1:6" x14ac:dyDescent="0.25">
      <c r="A5" s="96" t="s">
        <v>54</v>
      </c>
      <c r="B5" s="69"/>
      <c r="C5" s="15"/>
      <c r="D5" s="11" t="s">
        <v>55</v>
      </c>
      <c r="E5" s="12" t="s">
        <v>56</v>
      </c>
      <c r="F5" s="13" t="s">
        <v>57</v>
      </c>
    </row>
    <row r="6" spans="1:6" x14ac:dyDescent="0.25">
      <c r="A6" s="97">
        <v>1</v>
      </c>
      <c r="B6" s="28">
        <v>1</v>
      </c>
      <c r="C6" s="16" t="s">
        <v>58</v>
      </c>
      <c r="D6" s="17">
        <f>COUNTIF('BASE DE DATOS 2017'!$I:I,B6)</f>
        <v>9</v>
      </c>
      <c r="E6" s="321">
        <f>SUM(D6:D8)</f>
        <v>15</v>
      </c>
      <c r="F6" s="16">
        <f>D6*A6</f>
        <v>9</v>
      </c>
    </row>
    <row r="7" spans="1:6" x14ac:dyDescent="0.25">
      <c r="A7" s="97">
        <v>0.5</v>
      </c>
      <c r="B7" s="28">
        <v>2</v>
      </c>
      <c r="C7" s="16" t="s">
        <v>59</v>
      </c>
      <c r="D7" s="17">
        <f>COUNTIF('BASE DE DATOS 2017'!$I:I,B7)</f>
        <v>6</v>
      </c>
      <c r="E7" s="321"/>
      <c r="F7" s="16">
        <f>D7*A7</f>
        <v>3</v>
      </c>
    </row>
    <row r="8" spans="1:6" x14ac:dyDescent="0.25">
      <c r="A8" s="97">
        <v>0</v>
      </c>
      <c r="B8" s="28">
        <v>3</v>
      </c>
      <c r="C8" s="16" t="s">
        <v>60</v>
      </c>
      <c r="D8" s="17">
        <f>COUNTIF('BASE DE DATOS 2017'!$I:I,B8)</f>
        <v>0</v>
      </c>
      <c r="E8" s="321"/>
      <c r="F8" s="16">
        <f>D8*A8</f>
        <v>0</v>
      </c>
    </row>
    <row r="9" spans="1:6" x14ac:dyDescent="0.25">
      <c r="B9" s="28">
        <v>4</v>
      </c>
      <c r="C9" s="16" t="s">
        <v>61</v>
      </c>
      <c r="D9" s="17">
        <f>COUNTIF('BASE DE DATOS 2017'!$I:I,B9)</f>
        <v>0</v>
      </c>
      <c r="E9" s="16"/>
      <c r="F9" s="16"/>
    </row>
    <row r="10" spans="1:6" x14ac:dyDescent="0.25">
      <c r="E10" s="14">
        <f>E6/SUM(D6:D9)</f>
        <v>1</v>
      </c>
      <c r="F10" s="14">
        <f>(F6+F7)/E6</f>
        <v>0.8</v>
      </c>
    </row>
    <row r="11" spans="1:6" x14ac:dyDescent="0.25">
      <c r="C11" s="313" t="s">
        <v>62</v>
      </c>
      <c r="D11" s="314"/>
      <c r="E11" s="322">
        <f>AVERAGE(E10:F10)</f>
        <v>0.9</v>
      </c>
      <c r="F11" s="302"/>
    </row>
    <row r="12" spans="1:6" x14ac:dyDescent="0.25">
      <c r="C12" s="313" t="s">
        <v>63</v>
      </c>
      <c r="D12" s="314"/>
      <c r="E12" s="315">
        <f>E10-F10</f>
        <v>0.19999999999999996</v>
      </c>
      <c r="F12" s="316"/>
    </row>
    <row r="14" spans="1:6" x14ac:dyDescent="0.25">
      <c r="B14" s="70"/>
      <c r="C14" s="302" t="s">
        <v>18</v>
      </c>
      <c r="D14" s="302"/>
      <c r="E14" s="302"/>
      <c r="F14" s="302"/>
    </row>
    <row r="15" spans="1:6" ht="30" customHeight="1" x14ac:dyDescent="0.25">
      <c r="B15" s="70">
        <v>9</v>
      </c>
      <c r="C15" s="303" t="s">
        <v>178</v>
      </c>
      <c r="D15" s="304"/>
      <c r="E15" s="304"/>
      <c r="F15" s="305"/>
    </row>
    <row r="16" spans="1:6" s="82" customFormat="1" x14ac:dyDescent="0.25">
      <c r="A16" s="98"/>
      <c r="B16" s="80"/>
      <c r="C16" s="81"/>
      <c r="D16" s="309">
        <v>2017</v>
      </c>
      <c r="E16" s="310"/>
      <c r="F16" s="89"/>
    </row>
    <row r="17" spans="1:6" s="88" customFormat="1" ht="30" x14ac:dyDescent="0.25">
      <c r="A17" s="99" t="s">
        <v>54</v>
      </c>
      <c r="B17" s="84"/>
      <c r="C17" s="85"/>
      <c r="D17" s="86" t="s">
        <v>55</v>
      </c>
      <c r="E17" s="87" t="s">
        <v>185</v>
      </c>
      <c r="F17" s="87"/>
    </row>
    <row r="18" spans="1:6" x14ac:dyDescent="0.25">
      <c r="A18" s="97">
        <v>1</v>
      </c>
      <c r="B18" s="28">
        <v>1</v>
      </c>
      <c r="C18" s="16" t="s">
        <v>64</v>
      </c>
      <c r="D18" s="16">
        <f>COUNTIF('BASE DE DATOS 2017'!J:J,INSTITUCION!B18)</f>
        <v>15</v>
      </c>
      <c r="E18" s="21">
        <f>D18/SUM(D18:D19)</f>
        <v>1</v>
      </c>
      <c r="F18" s="16"/>
    </row>
    <row r="19" spans="1:6" x14ac:dyDescent="0.25">
      <c r="A19" s="97">
        <v>0</v>
      </c>
      <c r="B19" s="28">
        <v>2</v>
      </c>
      <c r="C19" s="16" t="s">
        <v>65</v>
      </c>
      <c r="D19" s="16">
        <f>COUNTIF('BASE DE DATOS 2017'!J:J,INSTITUCION!B19)</f>
        <v>0</v>
      </c>
      <c r="E19" s="21">
        <f>D19/SUM(D18:D19)</f>
        <v>0</v>
      </c>
      <c r="F19" s="16"/>
    </row>
    <row r="20" spans="1:6" x14ac:dyDescent="0.25">
      <c r="A20" s="97"/>
      <c r="B20" s="28"/>
      <c r="C20" s="16"/>
      <c r="D20" s="311">
        <f>((D18*A18)+(D19*A19))/(SUM(D18:D19)*A18)</f>
        <v>1</v>
      </c>
      <c r="E20" s="312"/>
      <c r="F20" s="16"/>
    </row>
    <row r="21" spans="1:6" s="22" customFormat="1" x14ac:dyDescent="0.25">
      <c r="A21" s="100"/>
      <c r="B21" s="71"/>
      <c r="D21" s="23"/>
    </row>
    <row r="22" spans="1:6" s="22" customFormat="1" x14ac:dyDescent="0.25">
      <c r="A22" s="100"/>
      <c r="B22" s="71"/>
      <c r="D22" s="23"/>
    </row>
    <row r="23" spans="1:6" s="22" customFormat="1" x14ac:dyDescent="0.25">
      <c r="A23" s="100"/>
      <c r="B23" s="70"/>
      <c r="C23" s="302" t="s">
        <v>71</v>
      </c>
      <c r="D23" s="302"/>
      <c r="E23" s="302"/>
      <c r="F23" s="302"/>
    </row>
    <row r="24" spans="1:6" x14ac:dyDescent="0.25">
      <c r="A24" s="97"/>
      <c r="B24" s="72">
        <v>10</v>
      </c>
      <c r="C24" s="306" t="s">
        <v>66</v>
      </c>
      <c r="D24" s="306"/>
      <c r="E24" s="306"/>
      <c r="F24" s="306"/>
    </row>
    <row r="25" spans="1:6" ht="30" x14ac:dyDescent="0.25">
      <c r="A25" s="97"/>
      <c r="B25" s="28"/>
      <c r="C25" s="25"/>
      <c r="D25" s="20" t="s">
        <v>55</v>
      </c>
      <c r="E25" s="83" t="s">
        <v>185</v>
      </c>
      <c r="F25" s="25"/>
    </row>
    <row r="26" spans="1:6" x14ac:dyDescent="0.25">
      <c r="A26" s="97">
        <v>0</v>
      </c>
      <c r="B26" s="28">
        <v>1</v>
      </c>
      <c r="C26" s="16" t="s">
        <v>68</v>
      </c>
      <c r="D26" s="16">
        <f>COUNTIF('BASE DE DATOS 2017'!K:K,INSTITUCION!B26)</f>
        <v>2</v>
      </c>
      <c r="E26" s="21">
        <f>D26/(SUM(D$26:D$28))</f>
        <v>0.13333333333333333</v>
      </c>
      <c r="F26" s="26"/>
    </row>
    <row r="27" spans="1:6" x14ac:dyDescent="0.25">
      <c r="A27" s="97">
        <v>1</v>
      </c>
      <c r="B27" s="28">
        <v>2</v>
      </c>
      <c r="C27" s="16" t="s">
        <v>69</v>
      </c>
      <c r="D27" s="16">
        <f>COUNTIF('BASE DE DATOS 2017'!K:K,INSTITUCION!B27)</f>
        <v>13</v>
      </c>
      <c r="E27" s="21">
        <f>D27/(SUM(D$26:D$28))</f>
        <v>0.8666666666666667</v>
      </c>
      <c r="F27" s="16"/>
    </row>
    <row r="28" spans="1:6" x14ac:dyDescent="0.25">
      <c r="A28" s="97">
        <v>0</v>
      </c>
      <c r="B28" s="28">
        <v>3</v>
      </c>
      <c r="C28" s="16" t="s">
        <v>70</v>
      </c>
      <c r="D28" s="16">
        <f>COUNTIF('BASE DE DATOS 2017'!K:K,INSTITUCION!B28)</f>
        <v>0</v>
      </c>
      <c r="E28" s="21">
        <f>D28/(SUM(D$26:D$28))</f>
        <v>0</v>
      </c>
      <c r="F28" s="16"/>
    </row>
    <row r="29" spans="1:6" x14ac:dyDescent="0.25">
      <c r="D29" s="311">
        <f>((D26*A26)+(D27*A27)+(D28*A28))/(SUM(D26:D28)*A27)</f>
        <v>0.8666666666666667</v>
      </c>
      <c r="E29" s="312"/>
      <c r="F29" s="16"/>
    </row>
    <row r="30" spans="1:6" x14ac:dyDescent="0.25">
      <c r="E30" s="307"/>
      <c r="F30" s="308"/>
    </row>
  </sheetData>
  <mergeCells count="15">
    <mergeCell ref="C12:D12"/>
    <mergeCell ref="E12:F12"/>
    <mergeCell ref="C3:F3"/>
    <mergeCell ref="C4:F4"/>
    <mergeCell ref="E6:E8"/>
    <mergeCell ref="C11:D11"/>
    <mergeCell ref="E11:F11"/>
    <mergeCell ref="C14:F14"/>
    <mergeCell ref="C15:F15"/>
    <mergeCell ref="C24:F24"/>
    <mergeCell ref="E30:F30"/>
    <mergeCell ref="C23:F23"/>
    <mergeCell ref="D16:E16"/>
    <mergeCell ref="D20:E20"/>
    <mergeCell ref="D29:E2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view="pageLayout" workbookViewId="0">
      <selection activeCell="D15" sqref="D15"/>
    </sheetView>
  </sheetViews>
  <sheetFormatPr baseColWidth="10" defaultRowHeight="15" x14ac:dyDescent="0.25"/>
  <cols>
    <col min="1" max="1" width="8.85546875" style="107" customWidth="1"/>
    <col min="2" max="2" width="4.85546875" style="76" customWidth="1"/>
    <col min="3" max="3" width="22.85546875" customWidth="1"/>
    <col min="8" max="8" width="9.28515625" customWidth="1"/>
  </cols>
  <sheetData>
    <row r="3" spans="1:6" ht="30.75" customHeight="1" x14ac:dyDescent="0.25">
      <c r="B3" s="75">
        <v>11</v>
      </c>
      <c r="C3" s="327" t="s">
        <v>179</v>
      </c>
      <c r="D3" s="327"/>
      <c r="E3" s="327"/>
      <c r="F3" s="333"/>
    </row>
    <row r="4" spans="1:6" x14ac:dyDescent="0.25">
      <c r="A4" s="105" t="s">
        <v>54</v>
      </c>
      <c r="B4" s="73"/>
      <c r="C4" s="15"/>
      <c r="D4" s="11" t="s">
        <v>55</v>
      </c>
      <c r="E4" s="27" t="s">
        <v>67</v>
      </c>
      <c r="F4" s="28"/>
    </row>
    <row r="5" spans="1:6" x14ac:dyDescent="0.25">
      <c r="A5" s="106">
        <v>1</v>
      </c>
      <c r="B5" s="68">
        <v>1</v>
      </c>
      <c r="C5" s="16" t="s">
        <v>64</v>
      </c>
      <c r="D5" s="17">
        <f>COUNTIF('BASE DE DATOS 2017'!L:L,ESPACIO!B5)</f>
        <v>14</v>
      </c>
      <c r="E5" s="29">
        <f>D5/SUM(D5:D6)</f>
        <v>0.93333333333333335</v>
      </c>
      <c r="F5" s="16"/>
    </row>
    <row r="6" spans="1:6" x14ac:dyDescent="0.25">
      <c r="A6" s="106">
        <v>0</v>
      </c>
      <c r="B6" s="68">
        <v>2</v>
      </c>
      <c r="C6" s="16" t="s">
        <v>65</v>
      </c>
      <c r="D6" s="17">
        <f>COUNTIF('BASE DE DATOS 2017'!L:L,ESPACIO!B6)</f>
        <v>1</v>
      </c>
      <c r="E6" s="29">
        <f>D6/SUM(D5:D6)</f>
        <v>6.6666666666666666E-2</v>
      </c>
      <c r="F6" s="16"/>
    </row>
    <row r="7" spans="1:6" x14ac:dyDescent="0.25">
      <c r="E7" s="322">
        <f>((D5*A5)+(D6*A6))/(SUM(D5:D6)*A5)</f>
        <v>0.93333333333333335</v>
      </c>
      <c r="F7" s="302"/>
    </row>
    <row r="10" spans="1:6" x14ac:dyDescent="0.25">
      <c r="B10" s="75">
        <v>12</v>
      </c>
      <c r="C10" s="334" t="s">
        <v>180</v>
      </c>
      <c r="D10" s="334"/>
      <c r="E10" s="334"/>
      <c r="F10" s="335"/>
    </row>
    <row r="11" spans="1:6" x14ac:dyDescent="0.25">
      <c r="A11" s="105" t="s">
        <v>54</v>
      </c>
      <c r="B11" s="73"/>
      <c r="C11" s="15"/>
      <c r="D11" s="11" t="s">
        <v>55</v>
      </c>
      <c r="E11" s="27" t="s">
        <v>67</v>
      </c>
      <c r="F11" s="28"/>
    </row>
    <row r="12" spans="1:6" x14ac:dyDescent="0.25">
      <c r="A12" s="106">
        <v>1</v>
      </c>
      <c r="B12" s="68">
        <v>1</v>
      </c>
      <c r="C12" s="16" t="s">
        <v>72</v>
      </c>
      <c r="D12" s="17">
        <f>COUNTIF('BASE DE DATOS 2017'!M:M,ESPACIO!B12)</f>
        <v>10</v>
      </c>
      <c r="E12" s="30">
        <f>D12/SUM(D$12:D$15)</f>
        <v>0.66666666666666663</v>
      </c>
      <c r="F12" s="16"/>
    </row>
    <row r="13" spans="1:6" x14ac:dyDescent="0.25">
      <c r="A13" s="106">
        <v>0.5</v>
      </c>
      <c r="B13" s="68">
        <v>2</v>
      </c>
      <c r="C13" s="16" t="s">
        <v>73</v>
      </c>
      <c r="D13" s="17">
        <f>COUNTIF('BASE DE DATOS 2017'!M:M,ESPACIO!B13)</f>
        <v>0</v>
      </c>
      <c r="E13" s="30">
        <f t="shared" ref="E13:E15" si="0">D13/SUM(D$12:D$15)</f>
        <v>0</v>
      </c>
      <c r="F13" s="16"/>
    </row>
    <row r="14" spans="1:6" x14ac:dyDescent="0.25">
      <c r="A14" s="106">
        <v>0</v>
      </c>
      <c r="B14" s="68">
        <v>3</v>
      </c>
      <c r="C14" s="16" t="s">
        <v>74</v>
      </c>
      <c r="D14" s="17">
        <f>COUNTIF('BASE DE DATOS 2017'!M:M,ESPACIO!B14)</f>
        <v>4</v>
      </c>
      <c r="E14" s="30">
        <f t="shared" si="0"/>
        <v>0.26666666666666666</v>
      </c>
      <c r="F14" s="16"/>
    </row>
    <row r="15" spans="1:6" x14ac:dyDescent="0.25">
      <c r="A15" s="106">
        <v>0.5</v>
      </c>
      <c r="B15" s="68">
        <v>4</v>
      </c>
      <c r="C15" s="16" t="s">
        <v>75</v>
      </c>
      <c r="D15" s="17">
        <f>COUNTIF('BASE DE DATOS 2017'!M:M,ESPACIO!B15)</f>
        <v>1</v>
      </c>
      <c r="E15" s="30">
        <f t="shared" si="0"/>
        <v>6.6666666666666666E-2</v>
      </c>
      <c r="F15" s="16"/>
    </row>
    <row r="16" spans="1:6" x14ac:dyDescent="0.25">
      <c r="E16" s="322">
        <f>((D12*A12)+(D13*A13)+(D14*A14)+(D15*A15))/(SUM(D12:D15)*A12)</f>
        <v>0.7</v>
      </c>
      <c r="F16" s="302"/>
    </row>
    <row r="17" spans="1:14" x14ac:dyDescent="0.25">
      <c r="N17" t="s">
        <v>255</v>
      </c>
    </row>
    <row r="19" spans="1:14" x14ac:dyDescent="0.25">
      <c r="B19" s="75">
        <v>13</v>
      </c>
      <c r="C19" s="334" t="s">
        <v>181</v>
      </c>
      <c r="D19" s="334"/>
      <c r="E19" s="334"/>
      <c r="F19" s="335"/>
    </row>
    <row r="20" spans="1:14" x14ac:dyDescent="0.25">
      <c r="A20" s="105" t="s">
        <v>54</v>
      </c>
      <c r="B20" s="73"/>
      <c r="C20" s="15"/>
      <c r="D20" s="11" t="s">
        <v>55</v>
      </c>
      <c r="E20" s="27" t="s">
        <v>67</v>
      </c>
      <c r="F20" s="28"/>
      <c r="M20" t="s">
        <v>254</v>
      </c>
    </row>
    <row r="21" spans="1:14" x14ac:dyDescent="0.25">
      <c r="A21" s="106">
        <v>1</v>
      </c>
      <c r="B21" s="68">
        <v>1</v>
      </c>
      <c r="C21" s="16" t="s">
        <v>76</v>
      </c>
      <c r="D21" s="17">
        <f>COUNTIF('BASE DE DATOS 2017'!N:N,ESPACIO!B21)</f>
        <v>9</v>
      </c>
      <c r="E21" s="30">
        <f>D21/SUM(D21:D24)</f>
        <v>0.6</v>
      </c>
      <c r="F21" s="16"/>
    </row>
    <row r="22" spans="1:14" x14ac:dyDescent="0.25">
      <c r="A22" s="106">
        <v>0.66666666666666663</v>
      </c>
      <c r="B22" s="68">
        <v>2</v>
      </c>
      <c r="C22" s="16" t="s">
        <v>77</v>
      </c>
      <c r="D22" s="17">
        <f>COUNTIF('BASE DE DATOS 2017'!N:N,ESPACIO!B22)</f>
        <v>4</v>
      </c>
      <c r="E22" s="30">
        <f>D22/SUM(D21:D24)</f>
        <v>0.26666666666666666</v>
      </c>
      <c r="F22" s="16"/>
      <c r="M22" t="s">
        <v>254</v>
      </c>
    </row>
    <row r="23" spans="1:14" x14ac:dyDescent="0.25">
      <c r="A23" s="106">
        <v>0.33333333333333331</v>
      </c>
      <c r="B23" s="68">
        <v>3</v>
      </c>
      <c r="C23" s="16" t="s">
        <v>78</v>
      </c>
      <c r="D23" s="17">
        <f>COUNTIF('BASE DE DATOS 2017'!N:N,ESPACIO!B23)</f>
        <v>1</v>
      </c>
      <c r="E23" s="30">
        <f>D23/SUM(D21:D24)</f>
        <v>6.6666666666666666E-2</v>
      </c>
      <c r="F23" s="16"/>
    </row>
    <row r="24" spans="1:14" x14ac:dyDescent="0.25">
      <c r="A24" s="106">
        <v>0</v>
      </c>
      <c r="B24" s="68">
        <v>4</v>
      </c>
      <c r="C24" s="16" t="s">
        <v>79</v>
      </c>
      <c r="D24" s="17">
        <f>COUNTIF('BASE DE DATOS 2017'!N:N,ESPACIO!B24)</f>
        <v>1</v>
      </c>
      <c r="E24" s="30">
        <f>D24/SUM(D21:D24)</f>
        <v>6.6666666666666666E-2</v>
      </c>
      <c r="F24" s="16"/>
    </row>
    <row r="25" spans="1:14" x14ac:dyDescent="0.25">
      <c r="E25" s="322">
        <f>((D21*A21)+(D22*A22)+(D23*A23)+(D24*A24))/(SUM(D21:D24)*A21)</f>
        <v>0.8</v>
      </c>
      <c r="F25" s="302"/>
    </row>
    <row r="28" spans="1:14" x14ac:dyDescent="0.25">
      <c r="B28" s="77"/>
      <c r="C28" s="302" t="s">
        <v>22</v>
      </c>
      <c r="D28" s="302"/>
      <c r="E28" s="302"/>
      <c r="F28" s="302"/>
    </row>
    <row r="29" spans="1:14" ht="32.25" customHeight="1" x14ac:dyDescent="0.25">
      <c r="B29" s="77">
        <v>14</v>
      </c>
      <c r="C29" s="303" t="s">
        <v>182</v>
      </c>
      <c r="D29" s="304"/>
      <c r="E29" s="304"/>
      <c r="F29" s="305"/>
    </row>
    <row r="30" spans="1:14" x14ac:dyDescent="0.25">
      <c r="A30" s="105" t="s">
        <v>54</v>
      </c>
      <c r="B30" s="68"/>
      <c r="C30" s="33"/>
      <c r="D30" s="31" t="s">
        <v>55</v>
      </c>
      <c r="E30" s="27" t="s">
        <v>67</v>
      </c>
      <c r="F30" s="33"/>
    </row>
    <row r="31" spans="1:14" x14ac:dyDescent="0.25">
      <c r="A31" s="105">
        <v>1</v>
      </c>
      <c r="B31" s="68">
        <v>1</v>
      </c>
      <c r="C31" s="34" t="s">
        <v>76</v>
      </c>
      <c r="D31" s="33">
        <f>COUNTIF('BASE DE DATOS 2017'!O:O,ESPACIO!B31)</f>
        <v>12</v>
      </c>
      <c r="E31" s="30">
        <f>D31/SUM(D31:D34)</f>
        <v>0.8</v>
      </c>
      <c r="F31" s="33"/>
    </row>
    <row r="32" spans="1:14" x14ac:dyDescent="0.25">
      <c r="A32" s="105">
        <v>0.66666666666666663</v>
      </c>
      <c r="B32" s="68">
        <v>2</v>
      </c>
      <c r="C32" s="34" t="s">
        <v>77</v>
      </c>
      <c r="D32" s="33">
        <f>COUNTIF('BASE DE DATOS 2017'!O:O,ESPACIO!B32)</f>
        <v>2</v>
      </c>
      <c r="E32" s="30">
        <f>D32/SUM(D31:D34)</f>
        <v>0.13333333333333333</v>
      </c>
      <c r="F32" s="33"/>
    </row>
    <row r="33" spans="1:6" x14ac:dyDescent="0.25">
      <c r="A33" s="106">
        <v>0.33333333333333331</v>
      </c>
      <c r="B33" s="68">
        <v>3</v>
      </c>
      <c r="C33" s="34" t="s">
        <v>78</v>
      </c>
      <c r="D33" s="33">
        <f>COUNTIF('BASE DE DATOS 2017'!O:O,ESPACIO!B33)</f>
        <v>0</v>
      </c>
      <c r="E33" s="30">
        <f>D33/SUM(D31:D34)</f>
        <v>0</v>
      </c>
      <c r="F33" s="33"/>
    </row>
    <row r="34" spans="1:6" x14ac:dyDescent="0.25">
      <c r="A34" s="106">
        <v>0</v>
      </c>
      <c r="B34" s="68">
        <v>4</v>
      </c>
      <c r="C34" s="34" t="s">
        <v>79</v>
      </c>
      <c r="D34" s="33">
        <f>COUNTIF('BASE DE DATOS 2017'!O:O,ESPACIO!B34)</f>
        <v>1</v>
      </c>
      <c r="E34" s="30">
        <f>D34/SUM(D31:D34)</f>
        <v>6.6666666666666666E-2</v>
      </c>
      <c r="F34" s="33"/>
    </row>
    <row r="35" spans="1:6" x14ac:dyDescent="0.25">
      <c r="A35" s="106"/>
      <c r="B35" s="68"/>
      <c r="C35" s="34"/>
      <c r="D35" s="14">
        <f>((D31*A31)+(D32*A32)+(D33*A33)+(D34*A34))/(SUM(D31:D34)*A31)</f>
        <v>0.88888888888888895</v>
      </c>
      <c r="E35" s="16"/>
      <c r="F35" s="16"/>
    </row>
    <row r="36" spans="1:6" x14ac:dyDescent="0.25">
      <c r="A36" s="106"/>
      <c r="B36" s="77">
        <v>15</v>
      </c>
      <c r="C36" s="336" t="s">
        <v>80</v>
      </c>
      <c r="D36" s="337"/>
      <c r="E36" s="337"/>
      <c r="F36" s="337"/>
    </row>
    <row r="37" spans="1:6" x14ac:dyDescent="0.25">
      <c r="A37" s="106"/>
      <c r="B37" s="68"/>
      <c r="C37" s="35"/>
      <c r="D37" s="32" t="s">
        <v>55</v>
      </c>
      <c r="E37" s="27" t="s">
        <v>67</v>
      </c>
      <c r="F37" s="35"/>
    </row>
    <row r="38" spans="1:6" x14ac:dyDescent="0.25">
      <c r="A38" s="105">
        <v>1</v>
      </c>
      <c r="B38" s="68">
        <v>1</v>
      </c>
      <c r="C38" s="34" t="s">
        <v>76</v>
      </c>
      <c r="D38" s="33">
        <f>COUNTIF('BASE DE DATOS 2017'!P:P,ESPACIO!B38)</f>
        <v>11</v>
      </c>
      <c r="E38" s="30">
        <f>D38/SUM(D38:D41)</f>
        <v>0.73333333333333328</v>
      </c>
      <c r="F38" s="33"/>
    </row>
    <row r="39" spans="1:6" x14ac:dyDescent="0.25">
      <c r="A39" s="105">
        <v>0.66666666666666663</v>
      </c>
      <c r="B39" s="68">
        <v>2</v>
      </c>
      <c r="C39" s="34" t="s">
        <v>77</v>
      </c>
      <c r="D39" s="33">
        <f>COUNTIF('BASE DE DATOS 2017'!P:P,ESPACIO!B39)</f>
        <v>3</v>
      </c>
      <c r="E39" s="30">
        <f>D39/SUM(D38:D41)</f>
        <v>0.2</v>
      </c>
      <c r="F39" s="33"/>
    </row>
    <row r="40" spans="1:6" x14ac:dyDescent="0.25">
      <c r="A40" s="106">
        <v>0.33333333333333331</v>
      </c>
      <c r="B40" s="68">
        <v>3</v>
      </c>
      <c r="C40" s="34" t="s">
        <v>78</v>
      </c>
      <c r="D40" s="33">
        <f>COUNTIF('BASE DE DATOS 2017'!P:P,ESPACIO!B40)</f>
        <v>1</v>
      </c>
      <c r="E40" s="30">
        <f>D40/SUM(D38:D41)</f>
        <v>6.6666666666666666E-2</v>
      </c>
      <c r="F40" s="33"/>
    </row>
    <row r="41" spans="1:6" x14ac:dyDescent="0.25">
      <c r="A41" s="106">
        <v>0</v>
      </c>
      <c r="B41" s="68">
        <v>4</v>
      </c>
      <c r="C41" s="34" t="s">
        <v>79</v>
      </c>
      <c r="D41" s="33">
        <f>COUNTIF('BASE DE DATOS 2017'!P:P,ESPACIO!B41)</f>
        <v>0</v>
      </c>
      <c r="E41" s="30">
        <f>D41/SUM(D38:D41)</f>
        <v>0</v>
      </c>
      <c r="F41" s="16"/>
    </row>
    <row r="42" spans="1:6" x14ac:dyDescent="0.25">
      <c r="D42" s="14">
        <f>((D38*A38)+(D39*A39)+(D40*A40)+(D41*A41))/(SUM(D38:D41)*A38)</f>
        <v>0.88888888888888895</v>
      </c>
      <c r="E42" s="16"/>
      <c r="F42" s="16"/>
    </row>
    <row r="43" spans="1:6" x14ac:dyDescent="0.25">
      <c r="E43" s="322">
        <f>AVERAGE(D35,D42)</f>
        <v>0.88888888888888895</v>
      </c>
      <c r="F43" s="302"/>
    </row>
    <row r="45" spans="1:6" x14ac:dyDescent="0.25">
      <c r="B45" s="75"/>
      <c r="C45" s="331" t="s">
        <v>23</v>
      </c>
      <c r="D45" s="331"/>
      <c r="E45" s="331"/>
      <c r="F45" s="332"/>
    </row>
    <row r="46" spans="1:6" ht="30.75" customHeight="1" x14ac:dyDescent="0.25">
      <c r="B46" s="75">
        <v>16</v>
      </c>
      <c r="C46" s="327" t="s">
        <v>81</v>
      </c>
      <c r="D46" s="327"/>
      <c r="E46" s="327"/>
      <c r="F46" s="333"/>
    </row>
    <row r="47" spans="1:6" x14ac:dyDescent="0.25">
      <c r="A47" s="105" t="s">
        <v>54</v>
      </c>
      <c r="B47" s="73"/>
      <c r="C47" s="15"/>
      <c r="D47" s="11" t="s">
        <v>55</v>
      </c>
      <c r="E47" s="27" t="s">
        <v>67</v>
      </c>
      <c r="F47" s="28"/>
    </row>
    <row r="48" spans="1:6" x14ac:dyDescent="0.25">
      <c r="A48" s="105">
        <v>1</v>
      </c>
      <c r="B48" s="68">
        <v>1</v>
      </c>
      <c r="C48" s="34" t="s">
        <v>76</v>
      </c>
      <c r="D48" s="17">
        <f>COUNTIF('BASE DE DATOS 2017'!Q:Q,ESPACIO!B48)</f>
        <v>11</v>
      </c>
      <c r="E48" s="30">
        <f>D48/SUM(D48:D51)</f>
        <v>0.73333333333333328</v>
      </c>
      <c r="F48" s="16"/>
    </row>
    <row r="49" spans="1:6" x14ac:dyDescent="0.25">
      <c r="A49" s="105">
        <v>0.66666666666666663</v>
      </c>
      <c r="B49" s="68">
        <v>2</v>
      </c>
      <c r="C49" s="34" t="s">
        <v>77</v>
      </c>
      <c r="D49" s="17">
        <f>COUNTIF('BASE DE DATOS 2017'!Q:Q,ESPACIO!B49)</f>
        <v>3</v>
      </c>
      <c r="E49" s="30">
        <f>D49/SUM(D48:D51)</f>
        <v>0.2</v>
      </c>
      <c r="F49" s="16"/>
    </row>
    <row r="50" spans="1:6" x14ac:dyDescent="0.25">
      <c r="A50" s="106">
        <v>0.33333333333333331</v>
      </c>
      <c r="B50" s="68">
        <v>3</v>
      </c>
      <c r="C50" s="34" t="s">
        <v>78</v>
      </c>
      <c r="D50" s="17">
        <f>COUNTIF('BASE DE DATOS 2017'!Q:Q,ESPACIO!B50)</f>
        <v>1</v>
      </c>
      <c r="E50" s="30">
        <f>D50/SUM(D48:D51)</f>
        <v>6.6666666666666666E-2</v>
      </c>
      <c r="F50" s="16"/>
    </row>
    <row r="51" spans="1:6" x14ac:dyDescent="0.25">
      <c r="A51" s="106">
        <v>0</v>
      </c>
      <c r="B51" s="68">
        <v>4</v>
      </c>
      <c r="C51" s="34" t="s">
        <v>79</v>
      </c>
      <c r="D51" s="17">
        <f>COUNTIF('BASE DE DATOS 2017'!Q:Q,ESPACIO!B51)</f>
        <v>0</v>
      </c>
      <c r="E51" s="30">
        <f>D51/SUM(D48:D51)</f>
        <v>0</v>
      </c>
      <c r="F51" s="16"/>
    </row>
    <row r="52" spans="1:6" x14ac:dyDescent="0.25">
      <c r="D52" s="36">
        <f>((D48*A48)+(D49*A49)+(D50*A50)+(D51*A51))/(SUM(D48:D51)*A48)</f>
        <v>0.88888888888888895</v>
      </c>
      <c r="E52" s="37"/>
      <c r="F52" s="22"/>
    </row>
    <row r="53" spans="1:6" x14ac:dyDescent="0.25">
      <c r="B53" s="75">
        <v>17</v>
      </c>
      <c r="C53" s="327" t="s">
        <v>82</v>
      </c>
      <c r="D53" s="327"/>
      <c r="E53" s="328"/>
      <c r="F53" s="329"/>
    </row>
    <row r="54" spans="1:6" x14ac:dyDescent="0.25">
      <c r="A54" s="105" t="s">
        <v>54</v>
      </c>
      <c r="B54" s="73"/>
      <c r="C54" s="15"/>
      <c r="D54" s="11" t="s">
        <v>55</v>
      </c>
      <c r="E54" s="27" t="s">
        <v>67</v>
      </c>
      <c r="F54" s="28"/>
    </row>
    <row r="55" spans="1:6" x14ac:dyDescent="0.25">
      <c r="A55" s="105">
        <v>1</v>
      </c>
      <c r="B55" s="68">
        <v>1</v>
      </c>
      <c r="C55" s="34" t="s">
        <v>76</v>
      </c>
      <c r="D55" s="17">
        <f>COUNTIF('BASE DE DATOS 2017'!R:R,ESPACIO!B55)</f>
        <v>11</v>
      </c>
      <c r="E55" s="30">
        <f>D55/SUM(D55:D58)</f>
        <v>0.73333333333333328</v>
      </c>
      <c r="F55" s="16"/>
    </row>
    <row r="56" spans="1:6" x14ac:dyDescent="0.25">
      <c r="A56" s="105">
        <v>0.66666666666666663</v>
      </c>
      <c r="B56" s="68">
        <v>2</v>
      </c>
      <c r="C56" s="34" t="s">
        <v>77</v>
      </c>
      <c r="D56" s="17">
        <f>COUNTIF('BASE DE DATOS 2017'!R:R,ESPACIO!B56)</f>
        <v>4</v>
      </c>
      <c r="E56" s="30">
        <f>D56/SUM(D55:D58)</f>
        <v>0.26666666666666666</v>
      </c>
      <c r="F56" s="16"/>
    </row>
    <row r="57" spans="1:6" x14ac:dyDescent="0.25">
      <c r="A57" s="106">
        <v>0.33333333333333331</v>
      </c>
      <c r="B57" s="68">
        <v>3</v>
      </c>
      <c r="C57" s="34" t="s">
        <v>78</v>
      </c>
      <c r="D57" s="17">
        <f>COUNTIF('BASE DE DATOS 2017'!R:R,ESPACIO!B57)</f>
        <v>0</v>
      </c>
      <c r="E57" s="30">
        <f>D57/SUM(D55:D58)</f>
        <v>0</v>
      </c>
      <c r="F57" s="16"/>
    </row>
    <row r="58" spans="1:6" x14ac:dyDescent="0.25">
      <c r="A58" s="106">
        <v>0</v>
      </c>
      <c r="B58" s="68">
        <v>4</v>
      </c>
      <c r="C58" s="34" t="s">
        <v>79</v>
      </c>
      <c r="D58" s="17">
        <f>COUNTIF('BASE DE DATOS 2017'!R:R,ESPACIO!B58)</f>
        <v>0</v>
      </c>
      <c r="E58" s="30">
        <f>D58/SUM(D55:D58)</f>
        <v>0</v>
      </c>
      <c r="F58" s="16"/>
    </row>
    <row r="59" spans="1:6" x14ac:dyDescent="0.25">
      <c r="D59" s="36">
        <f>((D55*A55)+(D56*A56)+(D57*A57)+(D58*A58))/(SUM(D55:D58)*A55)</f>
        <v>0.91111111111111109</v>
      </c>
      <c r="E59" s="330"/>
      <c r="F59" s="330"/>
    </row>
    <row r="60" spans="1:6" x14ac:dyDescent="0.25">
      <c r="E60" s="322">
        <f>AVERAGE(D52,D59)</f>
        <v>0.9</v>
      </c>
      <c r="F60" s="302"/>
    </row>
    <row r="62" spans="1:6" x14ac:dyDescent="0.25">
      <c r="B62" s="75"/>
      <c r="C62" s="331" t="s">
        <v>89</v>
      </c>
      <c r="D62" s="331"/>
      <c r="E62" s="331"/>
      <c r="F62" s="332"/>
    </row>
    <row r="63" spans="1:6" ht="42" customHeight="1" x14ac:dyDescent="0.25">
      <c r="A63" s="106"/>
      <c r="B63" s="74">
        <v>18</v>
      </c>
      <c r="C63" s="326" t="s">
        <v>88</v>
      </c>
      <c r="D63" s="326"/>
      <c r="E63" s="326"/>
      <c r="F63" s="326"/>
    </row>
    <row r="64" spans="1:6" x14ac:dyDescent="0.25">
      <c r="A64" s="105" t="s">
        <v>54</v>
      </c>
      <c r="B64" s="68"/>
      <c r="C64" s="35"/>
      <c r="D64" s="20" t="s">
        <v>55</v>
      </c>
      <c r="E64" s="27" t="s">
        <v>67</v>
      </c>
      <c r="F64" s="35"/>
    </row>
    <row r="65" spans="1:6" ht="31.5" customHeight="1" x14ac:dyDescent="0.25">
      <c r="A65" s="105">
        <v>1</v>
      </c>
      <c r="B65" s="68">
        <v>1</v>
      </c>
      <c r="C65" s="34" t="s">
        <v>76</v>
      </c>
      <c r="D65" s="33">
        <f>COUNTIF('BASE DE DATOS 2017'!S:S,ESPACIO!B65)</f>
        <v>10</v>
      </c>
      <c r="E65" s="30">
        <f>D65/SUM(D65:D68)</f>
        <v>0.66666666666666663</v>
      </c>
      <c r="F65" s="33"/>
    </row>
    <row r="66" spans="1:6" x14ac:dyDescent="0.25">
      <c r="A66" s="105">
        <v>0.66666666666666663</v>
      </c>
      <c r="B66" s="68">
        <v>2</v>
      </c>
      <c r="C66" s="34" t="s">
        <v>77</v>
      </c>
      <c r="D66" s="33">
        <f>COUNTIF('BASE DE DATOS 2017'!S:S,ESPACIO!B66)</f>
        <v>4</v>
      </c>
      <c r="E66" s="30">
        <f>D66/SUM(D65:D68)</f>
        <v>0.26666666666666666</v>
      </c>
      <c r="F66" s="33"/>
    </row>
    <row r="67" spans="1:6" x14ac:dyDescent="0.25">
      <c r="A67" s="106">
        <v>0.33333333333333331</v>
      </c>
      <c r="B67" s="68">
        <v>3</v>
      </c>
      <c r="C67" s="34" t="s">
        <v>78</v>
      </c>
      <c r="D67" s="33">
        <f>COUNTIF('BASE DE DATOS 2017'!S:S,ESPACIO!B67)</f>
        <v>1</v>
      </c>
      <c r="E67" s="30">
        <f>D67/SUM(D65:D68)</f>
        <v>6.6666666666666666E-2</v>
      </c>
      <c r="F67" s="33"/>
    </row>
    <row r="68" spans="1:6" x14ac:dyDescent="0.25">
      <c r="A68" s="106">
        <v>0</v>
      </c>
      <c r="B68" s="68">
        <v>4</v>
      </c>
      <c r="C68" s="34" t="s">
        <v>79</v>
      </c>
      <c r="D68" s="33">
        <f>COUNTIF('BASE DE DATOS 2017'!S:S,ESPACIO!B68)</f>
        <v>0</v>
      </c>
      <c r="E68" s="30">
        <f>D68/SUM(D65:D68)</f>
        <v>0</v>
      </c>
      <c r="F68" s="16"/>
    </row>
    <row r="69" spans="1:6" x14ac:dyDescent="0.25">
      <c r="D69" s="78">
        <f>((D65*A65)+(D66*A66)+(D67*A67)+(D68*A68))/(SUM(D65:D68)*A65)</f>
        <v>0.8666666666666667</v>
      </c>
      <c r="E69" s="16"/>
      <c r="F69" s="16"/>
    </row>
    <row r="71" spans="1:6" x14ac:dyDescent="0.25">
      <c r="B71" s="75"/>
      <c r="C71" s="331" t="s">
        <v>83</v>
      </c>
      <c r="D71" s="331"/>
      <c r="E71" s="331"/>
      <c r="F71" s="332"/>
    </row>
    <row r="72" spans="1:6" x14ac:dyDescent="0.25">
      <c r="B72" s="74">
        <v>19</v>
      </c>
      <c r="C72" s="327" t="s">
        <v>84</v>
      </c>
      <c r="D72" s="327"/>
      <c r="E72" s="327"/>
      <c r="F72" s="333"/>
    </row>
    <row r="73" spans="1:6" ht="13.5" customHeight="1" x14ac:dyDescent="0.25">
      <c r="A73" s="105" t="s">
        <v>54</v>
      </c>
      <c r="B73" s="73"/>
      <c r="C73" s="15"/>
      <c r="D73" s="11" t="s">
        <v>55</v>
      </c>
      <c r="E73" s="27" t="s">
        <v>67</v>
      </c>
      <c r="F73" s="28"/>
    </row>
    <row r="74" spans="1:6" x14ac:dyDescent="0.25">
      <c r="A74" s="106">
        <v>1</v>
      </c>
      <c r="B74" s="68">
        <v>1</v>
      </c>
      <c r="C74" s="16" t="s">
        <v>64</v>
      </c>
      <c r="D74" s="17">
        <f>COUNTIF('BASE DE DATOS 2017'!T:T,ESPACIO!B74)</f>
        <v>13</v>
      </c>
      <c r="E74" s="30">
        <f>D74/SUM(D74:D75)</f>
        <v>0.8666666666666667</v>
      </c>
      <c r="F74" s="16"/>
    </row>
    <row r="75" spans="1:6" ht="30.75" customHeight="1" x14ac:dyDescent="0.25">
      <c r="A75" s="106">
        <v>0</v>
      </c>
      <c r="B75" s="68">
        <v>2</v>
      </c>
      <c r="C75" s="16" t="s">
        <v>65</v>
      </c>
      <c r="D75" s="17">
        <f>COUNTIF('BASE DE DATOS 2017'!T:T,ESPACIO!B75)</f>
        <v>2</v>
      </c>
      <c r="E75" s="30">
        <f>D75/SUM(D74:D75)</f>
        <v>0.13333333333333333</v>
      </c>
      <c r="F75" s="16"/>
    </row>
    <row r="76" spans="1:6" x14ac:dyDescent="0.25">
      <c r="D76" s="40">
        <f>((D74*A74)+(D75*A75))/(SUM(D74:D75)*A74)</f>
        <v>0.8666666666666667</v>
      </c>
      <c r="E76" s="42"/>
      <c r="F76" s="43"/>
    </row>
    <row r="77" spans="1:6" ht="31.5" customHeight="1" x14ac:dyDescent="0.25">
      <c r="B77" s="74">
        <v>20</v>
      </c>
      <c r="C77" s="323" t="s">
        <v>183</v>
      </c>
      <c r="D77" s="323"/>
      <c r="E77" s="323"/>
      <c r="F77" s="323"/>
    </row>
    <row r="78" spans="1:6" x14ac:dyDescent="0.25">
      <c r="A78" s="105" t="s">
        <v>54</v>
      </c>
      <c r="B78" s="73"/>
      <c r="C78" s="15"/>
      <c r="D78" s="11" t="s">
        <v>55</v>
      </c>
      <c r="E78" s="27" t="s">
        <v>67</v>
      </c>
      <c r="F78" s="28"/>
    </row>
    <row r="79" spans="1:6" ht="26.25" x14ac:dyDescent="0.25">
      <c r="A79" s="106">
        <v>1</v>
      </c>
      <c r="B79" s="68">
        <v>1</v>
      </c>
      <c r="C79" s="41" t="s">
        <v>85</v>
      </c>
      <c r="D79" s="17">
        <f>COUNTIF('BASE DE DATOS 2017'!U:U,ESPACIO!B79)</f>
        <v>9</v>
      </c>
      <c r="E79" s="30">
        <f>D79/SUM(D79:D81)</f>
        <v>0.6</v>
      </c>
      <c r="F79" s="16"/>
    </row>
    <row r="80" spans="1:6" ht="26.25" x14ac:dyDescent="0.25">
      <c r="A80" s="106">
        <v>0.5</v>
      </c>
      <c r="B80" s="68">
        <v>2</v>
      </c>
      <c r="C80" s="41" t="s">
        <v>86</v>
      </c>
      <c r="D80" s="17">
        <f>COUNTIF('BASE DE DATOS 2017'!U:U,ESPACIO!B80)</f>
        <v>5</v>
      </c>
      <c r="E80" s="30">
        <f>D80/SUM(D79:D81)</f>
        <v>0.33333333333333331</v>
      </c>
      <c r="F80" s="16"/>
    </row>
    <row r="81" spans="1:6" ht="26.25" x14ac:dyDescent="0.25">
      <c r="A81" s="106">
        <v>0</v>
      </c>
      <c r="B81" s="68">
        <v>3</v>
      </c>
      <c r="C81" s="41" t="s">
        <v>87</v>
      </c>
      <c r="D81" s="17">
        <f>COUNTIF('BASE DE DATOS 2017'!U:U,ESPACIO!B81)</f>
        <v>1</v>
      </c>
      <c r="E81" s="30">
        <f>D81/SUM(D79:D81)</f>
        <v>6.6666666666666666E-2</v>
      </c>
      <c r="F81" s="16"/>
    </row>
    <row r="82" spans="1:6" x14ac:dyDescent="0.25">
      <c r="D82" s="36">
        <f>((D79*A79)+(D80*A80))/SUM(D79:D81)</f>
        <v>0.76666666666666672</v>
      </c>
      <c r="E82" s="42"/>
      <c r="F82" s="43"/>
    </row>
    <row r="83" spans="1:6" x14ac:dyDescent="0.25">
      <c r="E83" s="324">
        <f>AVERAGE(D76,D82)</f>
        <v>0.81666666666666665</v>
      </c>
      <c r="F83" s="325"/>
    </row>
    <row r="84" spans="1:6" x14ac:dyDescent="0.25">
      <c r="E84" s="44"/>
      <c r="F84" s="38"/>
    </row>
  </sheetData>
  <mergeCells count="21">
    <mergeCell ref="C46:F46"/>
    <mergeCell ref="C3:F3"/>
    <mergeCell ref="E7:F7"/>
    <mergeCell ref="C10:F10"/>
    <mergeCell ref="E16:F16"/>
    <mergeCell ref="C19:F19"/>
    <mergeCell ref="E25:F25"/>
    <mergeCell ref="C28:F28"/>
    <mergeCell ref="C29:F29"/>
    <mergeCell ref="C36:F36"/>
    <mergeCell ref="E43:F43"/>
    <mergeCell ref="C45:F45"/>
    <mergeCell ref="C77:F77"/>
    <mergeCell ref="E83:F83"/>
    <mergeCell ref="C63:F63"/>
    <mergeCell ref="C53:F53"/>
    <mergeCell ref="E59:F59"/>
    <mergeCell ref="E60:F60"/>
    <mergeCell ref="C71:F71"/>
    <mergeCell ref="C72:F72"/>
    <mergeCell ref="C62:F62"/>
  </mergeCells>
  <pageMargins left="0.7" right="0.7" top="0.75" bottom="0.56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2" workbookViewId="0">
      <selection activeCell="A73" sqref="A73"/>
    </sheetView>
  </sheetViews>
  <sheetFormatPr baseColWidth="10" defaultRowHeight="15" x14ac:dyDescent="0.25"/>
  <cols>
    <col min="1" max="1" width="7.7109375" style="102" customWidth="1"/>
    <col min="2" max="2" width="5.42578125" customWidth="1"/>
    <col min="3" max="3" width="19.5703125" customWidth="1"/>
    <col min="8" max="8" width="9.85546875" customWidth="1"/>
  </cols>
  <sheetData>
    <row r="2" spans="1:6" ht="13.5" customHeight="1" x14ac:dyDescent="0.25">
      <c r="A2" s="104"/>
      <c r="B2" s="19">
        <v>21</v>
      </c>
      <c r="C2" s="337" t="s">
        <v>90</v>
      </c>
      <c r="D2" s="337"/>
      <c r="E2" s="337"/>
      <c r="F2" s="337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2017'!V:V,B4)</f>
        <v>0</v>
      </c>
      <c r="E4" s="46" t="e">
        <f>D4/SUM(D4:D7)</f>
        <v>#DIV/0!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2017'!V:V,B5)</f>
        <v>0</v>
      </c>
      <c r="E5" s="46" t="e">
        <f>D5/SUM(D4:D7)</f>
        <v>#DIV/0!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2017'!V:V,B6)</f>
        <v>0</v>
      </c>
      <c r="E6" s="46" t="e">
        <f>D6/SUM(D4:D7)</f>
        <v>#DIV/0!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2017'!V:V,B7)</f>
        <v>0</v>
      </c>
      <c r="E7" s="46" t="e">
        <f>D7/SUM(D4:D7)</f>
        <v>#DIV/0!</v>
      </c>
      <c r="F7" s="16"/>
    </row>
    <row r="8" spans="1:6" x14ac:dyDescent="0.25">
      <c r="D8" s="14" t="e">
        <f>((D4*A4)+(D5*A5)+(D6*A6)+(D7*A7))/(SUM(D4:D7)*A4)</f>
        <v>#DIV/0!</v>
      </c>
      <c r="E8" s="16"/>
      <c r="F8" s="16"/>
    </row>
    <row r="11" spans="1:6" x14ac:dyDescent="0.25">
      <c r="A11" s="104"/>
      <c r="B11" s="19">
        <v>22</v>
      </c>
      <c r="C11" s="336" t="s">
        <v>91</v>
      </c>
      <c r="D11" s="337"/>
      <c r="E11" s="337"/>
      <c r="F11" s="337"/>
    </row>
    <row r="12" spans="1:6" x14ac:dyDescent="0.25">
      <c r="A12" s="103" t="s">
        <v>54</v>
      </c>
      <c r="B12" s="16"/>
      <c r="C12" s="35"/>
      <c r="D12" s="32" t="s">
        <v>55</v>
      </c>
      <c r="E12" s="32" t="s">
        <v>67</v>
      </c>
      <c r="F12" s="35"/>
    </row>
    <row r="13" spans="1:6" x14ac:dyDescent="0.25">
      <c r="A13" s="105">
        <v>1</v>
      </c>
      <c r="B13" s="16">
        <v>1</v>
      </c>
      <c r="C13" s="34" t="s">
        <v>76</v>
      </c>
      <c r="D13" s="33">
        <f>COUNTIF('BASE DE DATOS 2017'!W:W,B13)</f>
        <v>0</v>
      </c>
      <c r="E13" s="46" t="e">
        <f>D13/SUM(D13:D16)</f>
        <v>#DIV/0!</v>
      </c>
      <c r="F13" s="33"/>
    </row>
    <row r="14" spans="1:6" x14ac:dyDescent="0.25">
      <c r="A14" s="105">
        <v>0.66666666666666663</v>
      </c>
      <c r="B14" s="16">
        <v>2</v>
      </c>
      <c r="C14" s="34" t="s">
        <v>77</v>
      </c>
      <c r="D14" s="33">
        <f>COUNTIF('BASE DE DATOS 2017'!W:W,B14)</f>
        <v>0</v>
      </c>
      <c r="E14" s="46" t="e">
        <f>D14/SUM(D13:D16)</f>
        <v>#DIV/0!</v>
      </c>
      <c r="F14" s="33"/>
    </row>
    <row r="15" spans="1:6" x14ac:dyDescent="0.25">
      <c r="A15" s="106">
        <v>0.33333333333333331</v>
      </c>
      <c r="B15" s="16">
        <v>3</v>
      </c>
      <c r="C15" s="34" t="s">
        <v>78</v>
      </c>
      <c r="D15" s="33">
        <f>COUNTIF('BASE DE DATOS 2017'!W:W,B15)</f>
        <v>0</v>
      </c>
      <c r="E15" s="46" t="e">
        <f>D15/SUM(D13:D16)</f>
        <v>#DIV/0!</v>
      </c>
      <c r="F15" s="33"/>
    </row>
    <row r="16" spans="1:6" x14ac:dyDescent="0.25">
      <c r="A16" s="106">
        <v>0</v>
      </c>
      <c r="B16" s="16">
        <v>4</v>
      </c>
      <c r="C16" s="34" t="s">
        <v>79</v>
      </c>
      <c r="D16" s="33">
        <f>COUNTIF('BASE DE DATOS 2017'!W:W,B16)</f>
        <v>0</v>
      </c>
      <c r="E16" s="46" t="e">
        <f>D16/SUM(D13:D16)</f>
        <v>#DIV/0!</v>
      </c>
      <c r="F16" s="16"/>
    </row>
    <row r="17" spans="1:6" x14ac:dyDescent="0.25">
      <c r="D17" s="14" t="e">
        <f>((D13*A13)+(D14*A14)+(D15*A15)+(D16*A16))/(SUM(D13:D16)*A13)</f>
        <v>#DIV/0!</v>
      </c>
      <c r="E17" s="16"/>
      <c r="F17" s="16"/>
    </row>
    <row r="20" spans="1:6" x14ac:dyDescent="0.25">
      <c r="A20" s="104"/>
      <c r="B20" s="19">
        <v>23</v>
      </c>
      <c r="C20" s="336" t="s">
        <v>92</v>
      </c>
      <c r="D20" s="337"/>
      <c r="E20" s="337"/>
      <c r="F20" s="337"/>
    </row>
    <row r="21" spans="1:6" x14ac:dyDescent="0.25">
      <c r="A21" s="103" t="s">
        <v>54</v>
      </c>
      <c r="B21" s="16"/>
      <c r="C21" s="35"/>
      <c r="D21" s="32" t="s">
        <v>55</v>
      </c>
      <c r="E21" s="32" t="s">
        <v>67</v>
      </c>
      <c r="F21" s="35"/>
    </row>
    <row r="22" spans="1:6" x14ac:dyDescent="0.25">
      <c r="A22" s="105">
        <v>1</v>
      </c>
      <c r="B22" s="16">
        <v>1</v>
      </c>
      <c r="C22" s="34" t="s">
        <v>93</v>
      </c>
      <c r="D22" s="33">
        <f>COUNTIF('BASE DE DATOS 2017'!X:X,B22)</f>
        <v>0</v>
      </c>
      <c r="E22" s="46" t="e">
        <f>D22/SUM(D22:D26)</f>
        <v>#DIV/0!</v>
      </c>
      <c r="F22" s="33"/>
    </row>
    <row r="23" spans="1:6" x14ac:dyDescent="0.25">
      <c r="A23" s="105">
        <v>0.75</v>
      </c>
      <c r="B23" s="16">
        <v>2</v>
      </c>
      <c r="C23" s="34" t="s">
        <v>94</v>
      </c>
      <c r="D23" s="33">
        <f>COUNTIF('BASE DE DATOS 2017'!X:X,B23)</f>
        <v>0</v>
      </c>
      <c r="E23" s="46" t="e">
        <f>D23/SUM(D22:D26)</f>
        <v>#DIV/0!</v>
      </c>
      <c r="F23" s="33"/>
    </row>
    <row r="24" spans="1:6" x14ac:dyDescent="0.25">
      <c r="A24" s="105">
        <v>0.5</v>
      </c>
      <c r="B24" s="16">
        <v>3</v>
      </c>
      <c r="C24" s="34" t="s">
        <v>95</v>
      </c>
      <c r="D24" s="33">
        <f>COUNTIF('BASE DE DATOS 2017'!X:X,B24)</f>
        <v>0</v>
      </c>
      <c r="E24" s="46" t="e">
        <f>D24/SUM(D22:D26)</f>
        <v>#DIV/0!</v>
      </c>
      <c r="F24" s="33"/>
    </row>
    <row r="25" spans="1:6" x14ac:dyDescent="0.25">
      <c r="A25" s="106">
        <v>0.25</v>
      </c>
      <c r="B25" s="16">
        <v>4</v>
      </c>
      <c r="C25" s="34" t="s">
        <v>96</v>
      </c>
      <c r="D25" s="33">
        <f>COUNTIF('BASE DE DATOS 2017'!X:X,B25)</f>
        <v>0</v>
      </c>
      <c r="E25" s="46" t="e">
        <f>D25/SUM(D22:D26)</f>
        <v>#DIV/0!</v>
      </c>
      <c r="F25" s="33"/>
    </row>
    <row r="26" spans="1:6" x14ac:dyDescent="0.25">
      <c r="A26" s="106">
        <v>0</v>
      </c>
      <c r="B26" s="16">
        <v>5</v>
      </c>
      <c r="C26" s="34" t="s">
        <v>97</v>
      </c>
      <c r="D26" s="33">
        <f>COUNTIF('BASE DE DATOS 2017'!X:X,B26)</f>
        <v>0</v>
      </c>
      <c r="E26" s="46" t="e">
        <f>D26/SUM(D22:D26)</f>
        <v>#DIV/0!</v>
      </c>
      <c r="F26" s="16"/>
    </row>
    <row r="27" spans="1:6" x14ac:dyDescent="0.25">
      <c r="D27" s="14" t="e">
        <f>((D22*A22)+(D23*A23)+(D24*A24)+(D25*A25)+(D26*A26))/(SUM(D22:D26)*A22)</f>
        <v>#DIV/0!</v>
      </c>
      <c r="E27" s="16"/>
      <c r="F27" s="16"/>
    </row>
    <row r="30" spans="1:6" x14ac:dyDescent="0.25">
      <c r="A30" s="104"/>
      <c r="B30" s="19">
        <v>24</v>
      </c>
      <c r="C30" s="336" t="s">
        <v>98</v>
      </c>
      <c r="D30" s="337"/>
      <c r="E30" s="337"/>
      <c r="F30" s="337"/>
    </row>
    <row r="31" spans="1:6" x14ac:dyDescent="0.25">
      <c r="A31" s="103" t="s">
        <v>54</v>
      </c>
      <c r="B31" s="16"/>
      <c r="C31" s="35"/>
      <c r="D31" s="32" t="s">
        <v>55</v>
      </c>
      <c r="E31" s="32" t="s">
        <v>67</v>
      </c>
      <c r="F31" s="35"/>
    </row>
    <row r="32" spans="1:6" x14ac:dyDescent="0.25">
      <c r="A32" s="105">
        <v>1</v>
      </c>
      <c r="B32" s="16">
        <v>1</v>
      </c>
      <c r="C32" s="34" t="s">
        <v>76</v>
      </c>
      <c r="D32" s="33">
        <f>COUNTIF('BASE DE DATOS 2017'!Y:Y,B32)</f>
        <v>9</v>
      </c>
      <c r="E32" s="46">
        <f>D32/SUM(D32:D35)</f>
        <v>0.81818181818181823</v>
      </c>
      <c r="F32" s="33"/>
    </row>
    <row r="33" spans="1:6" x14ac:dyDescent="0.25">
      <c r="A33" s="105">
        <v>0.66666666666666663</v>
      </c>
      <c r="B33" s="16">
        <v>2</v>
      </c>
      <c r="C33" s="34" t="s">
        <v>77</v>
      </c>
      <c r="D33" s="33">
        <f>COUNTIF('BASE DE DATOS 2017'!Y:Y,B33)</f>
        <v>1</v>
      </c>
      <c r="E33" s="46">
        <f>D33/SUM(D32:D35)</f>
        <v>9.0909090909090912E-2</v>
      </c>
      <c r="F33" s="33"/>
    </row>
    <row r="34" spans="1:6" x14ac:dyDescent="0.25">
      <c r="A34" s="106">
        <v>0.33333333333333331</v>
      </c>
      <c r="B34" s="16">
        <v>3</v>
      </c>
      <c r="C34" s="34" t="s">
        <v>78</v>
      </c>
      <c r="D34" s="33">
        <f>COUNTIF('BASE DE DATOS 2017'!Y:Y,B34)</f>
        <v>1</v>
      </c>
      <c r="E34" s="46">
        <f>D34/SUM(D32:D35)</f>
        <v>9.0909090909090912E-2</v>
      </c>
      <c r="F34" s="33"/>
    </row>
    <row r="35" spans="1:6" x14ac:dyDescent="0.25">
      <c r="A35" s="106">
        <v>0</v>
      </c>
      <c r="B35" s="16">
        <v>4</v>
      </c>
      <c r="C35" s="34" t="s">
        <v>79</v>
      </c>
      <c r="D35" s="33">
        <f>COUNTIF('BASE DE DATOS 2017'!Y:Y,B35)</f>
        <v>0</v>
      </c>
      <c r="E35" s="46">
        <f>D35/SUM(D32:D35)</f>
        <v>0</v>
      </c>
      <c r="F35" s="16"/>
    </row>
    <row r="36" spans="1:6" x14ac:dyDescent="0.25">
      <c r="D36" s="14">
        <f>((D32*A32)+(D33*A33)+(D34*A34)+(D35*A35))/(SUM(D32:D35)*A32)</f>
        <v>0.90909090909090906</v>
      </c>
      <c r="E36" s="16"/>
      <c r="F36" s="16"/>
    </row>
    <row r="39" spans="1:6" x14ac:dyDescent="0.25">
      <c r="A39" s="104"/>
      <c r="B39" s="19">
        <v>25</v>
      </c>
      <c r="C39" s="336" t="s">
        <v>99</v>
      </c>
      <c r="D39" s="337"/>
      <c r="E39" s="337"/>
      <c r="F39" s="337"/>
    </row>
    <row r="40" spans="1:6" x14ac:dyDescent="0.25">
      <c r="A40" s="103" t="s">
        <v>54</v>
      </c>
      <c r="B40" s="16"/>
      <c r="C40" s="35"/>
      <c r="D40" s="32" t="s">
        <v>55</v>
      </c>
      <c r="E40" s="32" t="s">
        <v>67</v>
      </c>
      <c r="F40" s="35"/>
    </row>
    <row r="41" spans="1:6" x14ac:dyDescent="0.25">
      <c r="A41" s="105">
        <v>1</v>
      </c>
      <c r="B41" s="16">
        <v>1</v>
      </c>
      <c r="C41" s="34" t="s">
        <v>76</v>
      </c>
      <c r="D41" s="33">
        <f>COUNTIF('BASE DE DATOS 2017'!Z:Z,B41)</f>
        <v>10</v>
      </c>
      <c r="E41" s="46">
        <f>D41/SUM(D41:D44)</f>
        <v>0.90909090909090906</v>
      </c>
      <c r="F41" s="33"/>
    </row>
    <row r="42" spans="1:6" x14ac:dyDescent="0.25">
      <c r="A42" s="105">
        <v>0.66666666666666663</v>
      </c>
      <c r="B42" s="16">
        <v>2</v>
      </c>
      <c r="C42" s="34" t="s">
        <v>77</v>
      </c>
      <c r="D42" s="33">
        <f>COUNTIF('BASE DE DATOS 2017'!Z:Z,B42)</f>
        <v>0</v>
      </c>
      <c r="E42" s="46">
        <f>D42/SUM(D41:D44)</f>
        <v>0</v>
      </c>
      <c r="F42" s="33"/>
    </row>
    <row r="43" spans="1:6" x14ac:dyDescent="0.25">
      <c r="A43" s="106">
        <v>0.33333333333333331</v>
      </c>
      <c r="B43" s="16">
        <v>3</v>
      </c>
      <c r="C43" s="34" t="s">
        <v>78</v>
      </c>
      <c r="D43" s="33">
        <f>COUNTIF('BASE DE DATOS 2017'!Z:Z,B43)</f>
        <v>1</v>
      </c>
      <c r="E43" s="46">
        <f>D43/SUM(D41:D44)</f>
        <v>9.0909090909090912E-2</v>
      </c>
      <c r="F43" s="33"/>
    </row>
    <row r="44" spans="1:6" x14ac:dyDescent="0.25">
      <c r="A44" s="106">
        <v>0</v>
      </c>
      <c r="B44" s="16">
        <v>4</v>
      </c>
      <c r="C44" s="34" t="s">
        <v>79</v>
      </c>
      <c r="D44" s="33">
        <f>COUNTIF('BASE DE DATOS 2017'!Z:Z,B44)</f>
        <v>0</v>
      </c>
      <c r="E44" s="46">
        <f>D44/SUM(D41:D44)</f>
        <v>0</v>
      </c>
      <c r="F44" s="16"/>
    </row>
    <row r="45" spans="1:6" x14ac:dyDescent="0.25">
      <c r="D45" s="14">
        <f>((D41*A41)+(D42*A42)+(D43*A43)+(D44*A44))/(SUM(D41:D44)*A41)</f>
        <v>0.93939393939393945</v>
      </c>
      <c r="E45" s="16"/>
      <c r="F45" s="16"/>
    </row>
    <row r="49" spans="1:6" x14ac:dyDescent="0.25">
      <c r="A49" s="104"/>
      <c r="B49" s="19">
        <v>26</v>
      </c>
      <c r="C49" s="336" t="s">
        <v>100</v>
      </c>
      <c r="D49" s="337"/>
      <c r="E49" s="337"/>
      <c r="F49" s="337"/>
    </row>
    <row r="50" spans="1:6" x14ac:dyDescent="0.25">
      <c r="A50" s="103" t="s">
        <v>54</v>
      </c>
      <c r="B50" s="16"/>
      <c r="C50" s="35"/>
      <c r="D50" s="32" t="s">
        <v>55</v>
      </c>
      <c r="E50" s="32" t="s">
        <v>67</v>
      </c>
      <c r="F50" s="35"/>
    </row>
    <row r="51" spans="1:6" x14ac:dyDescent="0.25">
      <c r="A51" s="105">
        <v>1</v>
      </c>
      <c r="B51" s="16">
        <v>1</v>
      </c>
      <c r="C51" s="34" t="s">
        <v>76</v>
      </c>
      <c r="D51" s="33">
        <f>COUNTIF('BASE DE DATOS 2017'!AA:AA,B51)</f>
        <v>9</v>
      </c>
      <c r="E51" s="46">
        <f>D51/SUM(D51:D55)</f>
        <v>0.81818181818181823</v>
      </c>
      <c r="F51" s="33"/>
    </row>
    <row r="52" spans="1:6" x14ac:dyDescent="0.25">
      <c r="A52" s="105">
        <v>0.66666666666666663</v>
      </c>
      <c r="B52" s="16">
        <v>2</v>
      </c>
      <c r="C52" s="34" t="s">
        <v>77</v>
      </c>
      <c r="D52" s="33">
        <f>COUNTIF('BASE DE DATOS 2017'!AA:AA,B52)</f>
        <v>2</v>
      </c>
      <c r="E52" s="46">
        <f>D52/SUM(D51:D55)</f>
        <v>0.18181818181818182</v>
      </c>
      <c r="F52" s="33"/>
    </row>
    <row r="53" spans="1:6" x14ac:dyDescent="0.25">
      <c r="A53" s="105">
        <v>0.33333333333333331</v>
      </c>
      <c r="B53" s="16">
        <v>3</v>
      </c>
      <c r="C53" s="34" t="s">
        <v>78</v>
      </c>
      <c r="D53" s="33">
        <f>COUNTIF('BASE DE DATOS 2017'!AA:AA,B53)</f>
        <v>0</v>
      </c>
      <c r="E53" s="46">
        <f>D53/SUM(D51:D55)</f>
        <v>0</v>
      </c>
      <c r="F53" s="33"/>
    </row>
    <row r="54" spans="1:6" x14ac:dyDescent="0.25">
      <c r="A54" s="106">
        <v>0</v>
      </c>
      <c r="B54" s="16">
        <v>4</v>
      </c>
      <c r="C54" s="34" t="s">
        <v>79</v>
      </c>
      <c r="D54" s="33">
        <f>COUNTIF('BASE DE DATOS 2017'!AA:AA,B54)</f>
        <v>0</v>
      </c>
      <c r="E54" s="46">
        <f>D54/SUM(D51:D55)</f>
        <v>0</v>
      </c>
      <c r="F54" s="33"/>
    </row>
    <row r="55" spans="1:6" x14ac:dyDescent="0.25">
      <c r="A55" s="106"/>
      <c r="B55" s="16">
        <v>5</v>
      </c>
      <c r="C55" s="34" t="s">
        <v>101</v>
      </c>
      <c r="D55" s="33">
        <f>COUNTIF('BASE DE DATOS 2017'!AA:AA,B55)</f>
        <v>0</v>
      </c>
      <c r="E55" s="46">
        <f>D55/SUM(D51:D55)</f>
        <v>0</v>
      </c>
      <c r="F55" s="16"/>
    </row>
    <row r="56" spans="1:6" x14ac:dyDescent="0.25">
      <c r="D56" s="14">
        <f>((D51*A51)+(D52*A52)+(D53*A53)+(D54*A54))/(SUM(D51:D54)*A51)</f>
        <v>0.93939393939393945</v>
      </c>
      <c r="E56" s="16"/>
      <c r="F56" s="16"/>
    </row>
    <row r="59" spans="1:6" x14ac:dyDescent="0.25">
      <c r="A59" s="104"/>
      <c r="B59" s="19">
        <v>27</v>
      </c>
      <c r="C59" s="336" t="s">
        <v>102</v>
      </c>
      <c r="D59" s="337"/>
      <c r="E59" s="337"/>
      <c r="F59" s="337"/>
    </row>
    <row r="60" spans="1:6" x14ac:dyDescent="0.25">
      <c r="A60" s="103" t="s">
        <v>54</v>
      </c>
      <c r="B60" s="16"/>
      <c r="C60" s="35"/>
      <c r="D60" s="32" t="s">
        <v>55</v>
      </c>
      <c r="E60" s="32" t="s">
        <v>67</v>
      </c>
      <c r="F60" s="35"/>
    </row>
    <row r="61" spans="1:6" x14ac:dyDescent="0.25">
      <c r="A61" s="105">
        <v>1</v>
      </c>
      <c r="B61" s="16">
        <v>1</v>
      </c>
      <c r="C61" s="34" t="s">
        <v>76</v>
      </c>
      <c r="D61" s="33">
        <f>COUNTIF('BASE DE DATOS 2017'!AB:AB,B61)</f>
        <v>3</v>
      </c>
      <c r="E61" s="46">
        <f>D61/SUM(D61:D64)</f>
        <v>0.75</v>
      </c>
      <c r="F61" s="33"/>
    </row>
    <row r="62" spans="1:6" x14ac:dyDescent="0.25">
      <c r="A62" s="105">
        <v>0.66666666666666663</v>
      </c>
      <c r="B62" s="16">
        <v>2</v>
      </c>
      <c r="C62" s="34" t="s">
        <v>77</v>
      </c>
      <c r="D62" s="33">
        <f>COUNTIF('BASE DE DATOS 2017'!AB:AB,B62)</f>
        <v>1</v>
      </c>
      <c r="E62" s="46">
        <f>D62/SUM(D61:D64)</f>
        <v>0.25</v>
      </c>
      <c r="F62" s="33"/>
    </row>
    <row r="63" spans="1:6" x14ac:dyDescent="0.25">
      <c r="A63" s="106">
        <v>0.33333333333333331</v>
      </c>
      <c r="B63" s="16">
        <v>3</v>
      </c>
      <c r="C63" s="34" t="s">
        <v>78</v>
      </c>
      <c r="D63" s="33">
        <f>COUNTIF('BASE DE DATOS 2017'!AB:AB,B63)</f>
        <v>0</v>
      </c>
      <c r="E63" s="46">
        <f>D63/SUM(D61:D64)</f>
        <v>0</v>
      </c>
      <c r="F63" s="33"/>
    </row>
    <row r="64" spans="1:6" x14ac:dyDescent="0.25">
      <c r="A64" s="106">
        <v>0</v>
      </c>
      <c r="B64" s="16">
        <v>4</v>
      </c>
      <c r="C64" s="34" t="s">
        <v>79</v>
      </c>
      <c r="D64" s="33">
        <f>COUNTIF('BASE DE DATOS 2017'!AB:AB,B64)</f>
        <v>0</v>
      </c>
      <c r="E64" s="46">
        <f>D64/SUM(D61:D64)</f>
        <v>0</v>
      </c>
      <c r="F64" s="16"/>
    </row>
    <row r="65" spans="1:6" x14ac:dyDescent="0.25">
      <c r="D65" s="14">
        <f>((D61*A61)+(D62*A62)+(D63*A63)+(D64*A64))/(SUM(D61:D64)*A61)</f>
        <v>0.91666666666666663</v>
      </c>
      <c r="E65" s="16"/>
      <c r="F65" s="16"/>
    </row>
    <row r="68" spans="1:6" x14ac:dyDescent="0.25">
      <c r="A68" s="104"/>
      <c r="B68" s="19">
        <v>28</v>
      </c>
      <c r="C68" s="336" t="s">
        <v>103</v>
      </c>
      <c r="D68" s="337"/>
      <c r="E68" s="337"/>
      <c r="F68" s="337"/>
    </row>
    <row r="69" spans="1:6" x14ac:dyDescent="0.25">
      <c r="A69" s="103" t="s">
        <v>54</v>
      </c>
      <c r="B69" s="16"/>
      <c r="C69" s="35"/>
      <c r="D69" s="32" t="s">
        <v>55</v>
      </c>
      <c r="E69" s="32" t="s">
        <v>67</v>
      </c>
      <c r="F69" s="35"/>
    </row>
    <row r="70" spans="1:6" x14ac:dyDescent="0.25">
      <c r="A70" s="105">
        <v>1</v>
      </c>
      <c r="B70" s="16">
        <v>1</v>
      </c>
      <c r="C70" s="34" t="s">
        <v>76</v>
      </c>
      <c r="D70" s="33">
        <f>COUNTIF('BASE DE DATOS 2017'!AC:AC,B70)</f>
        <v>3</v>
      </c>
      <c r="E70" s="46">
        <f>D70/SUM(D70:D73)</f>
        <v>0.75</v>
      </c>
      <c r="F70" s="33"/>
    </row>
    <row r="71" spans="1:6" x14ac:dyDescent="0.25">
      <c r="A71" s="105">
        <v>0.66666666666666663</v>
      </c>
      <c r="B71" s="16">
        <v>2</v>
      </c>
      <c r="C71" s="34" t="s">
        <v>77</v>
      </c>
      <c r="D71" s="33">
        <f>COUNTIF('BASE DE DATOS 2017'!AC:AC,B71)</f>
        <v>1</v>
      </c>
      <c r="E71" s="46">
        <f>D71/SUM(D70:D73)</f>
        <v>0.25</v>
      </c>
      <c r="F71" s="33"/>
    </row>
    <row r="72" spans="1:6" x14ac:dyDescent="0.25">
      <c r="A72" s="106">
        <v>0.33333333333333331</v>
      </c>
      <c r="B72" s="16">
        <v>3</v>
      </c>
      <c r="C72" s="34" t="s">
        <v>78</v>
      </c>
      <c r="D72" s="33">
        <f>COUNTIF('BASE DE DATOS 2017'!AC:AC,B72)</f>
        <v>0</v>
      </c>
      <c r="E72" s="46">
        <f>D72/SUM(D70:D73)</f>
        <v>0</v>
      </c>
      <c r="F72" s="33"/>
    </row>
    <row r="73" spans="1:6" x14ac:dyDescent="0.25">
      <c r="A73" s="106">
        <v>0</v>
      </c>
      <c r="B73" s="16">
        <v>4</v>
      </c>
      <c r="C73" s="34" t="s">
        <v>79</v>
      </c>
      <c r="D73" s="33">
        <f>COUNTIF('BASE DE DATOS 2017'!AC:AC,B73)</f>
        <v>0</v>
      </c>
      <c r="E73" s="46">
        <f>D73/SUM(D70:D73)</f>
        <v>0</v>
      </c>
      <c r="F73" s="16"/>
    </row>
    <row r="74" spans="1:6" x14ac:dyDescent="0.25">
      <c r="D74" s="14">
        <f>((D70*A70)+(D71*A71)+(D72*A72)+(D73*A73))/(SUM(D70:D73)*A70)</f>
        <v>0.91666666666666663</v>
      </c>
      <c r="E74" s="16"/>
      <c r="F74" s="16"/>
    </row>
  </sheetData>
  <mergeCells count="8">
    <mergeCell ref="C59:F59"/>
    <mergeCell ref="C68:F68"/>
    <mergeCell ref="C2:F2"/>
    <mergeCell ref="C11:F11"/>
    <mergeCell ref="C20:F20"/>
    <mergeCell ref="C30:F30"/>
    <mergeCell ref="C39:F39"/>
    <mergeCell ref="C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BASE DE DATOS 2015</vt:lpstr>
      <vt:lpstr>BASE DE DATOS 2016</vt:lpstr>
      <vt:lpstr>BASE DE DATOS 2017</vt:lpstr>
      <vt:lpstr>RESUMEN 2017</vt:lpstr>
      <vt:lpstr>TERMINOS</vt:lpstr>
      <vt:lpstr>COMPARATIVO</vt:lpstr>
      <vt:lpstr>INSTITUCION</vt:lpstr>
      <vt:lpstr>ESPACIO</vt:lpstr>
      <vt:lpstr>EQUIPO Y MATERIAL</vt:lpstr>
      <vt:lpstr>CONVIVENCIA</vt:lpstr>
      <vt:lpstr>MANDOS MEDIOS</vt:lpstr>
      <vt:lpstr>PUESTO</vt:lpstr>
      <vt:lpstr>Hoja1</vt:lpstr>
      <vt:lpstr>'BASE DE DATOS 2017'!TODAS_LAS_AREAS_1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narváez</cp:lastModifiedBy>
  <cp:lastPrinted>2016-03-08T19:39:47Z</cp:lastPrinted>
  <dcterms:created xsi:type="dcterms:W3CDTF">2014-02-12T18:10:41Z</dcterms:created>
  <dcterms:modified xsi:type="dcterms:W3CDTF">2017-11-17T16:44:53Z</dcterms:modified>
</cp:coreProperties>
</file>